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5" i="8" l="1"/>
  <c r="S27" i="8" l="1"/>
  <c r="S28" i="8"/>
  <c r="P9" i="3" l="1"/>
  <c r="P8" i="3"/>
  <c r="S6" i="8" l="1"/>
  <c r="P26" i="3"/>
  <c r="P6" i="3" l="1"/>
  <c r="S19" i="8"/>
  <c r="S40" i="8" l="1"/>
  <c r="S39" i="8"/>
  <c r="S38" i="8"/>
  <c r="S37" i="8"/>
  <c r="S36" i="8"/>
  <c r="S35" i="8"/>
  <c r="S33" i="8"/>
  <c r="S32" i="8"/>
  <c r="S26" i="8"/>
  <c r="S25" i="8"/>
  <c r="S24" i="8"/>
  <c r="S23" i="8"/>
  <c r="S22" i="8"/>
  <c r="S21" i="8"/>
  <c r="S20" i="8"/>
  <c r="S13" i="8"/>
  <c r="S12" i="8"/>
  <c r="S11" i="8"/>
  <c r="S7" i="8"/>
  <c r="S5" i="8"/>
  <c r="S14" i="8" l="1"/>
  <c r="W15" i="8" s="1"/>
  <c r="U40" i="8" l="1"/>
  <c r="U39" i="8"/>
  <c r="U38" i="8"/>
  <c r="U37" i="8"/>
  <c r="U36" i="8"/>
  <c r="U35" i="8"/>
  <c r="U33" i="8"/>
  <c r="U32" i="8"/>
  <c r="U28" i="8"/>
  <c r="U25" i="8"/>
  <c r="W26" i="8" s="1"/>
  <c r="U24" i="8"/>
  <c r="U23" i="8"/>
  <c r="U22" i="8"/>
  <c r="U21" i="8"/>
  <c r="U20" i="8"/>
  <c r="U14" i="8"/>
  <c r="U13" i="8"/>
  <c r="U12" i="8"/>
  <c r="U11" i="8"/>
  <c r="S8" i="8"/>
  <c r="U8" i="8" s="1"/>
  <c r="U7" i="8"/>
  <c r="U6" i="8"/>
  <c r="U5" i="8"/>
  <c r="P27" i="3"/>
  <c r="R27" i="3" s="1"/>
  <c r="T49" i="8" l="1"/>
  <c r="T45" i="8"/>
  <c r="T47" i="8"/>
  <c r="U26" i="8"/>
  <c r="V8" i="8"/>
  <c r="U55" i="8" s="1"/>
  <c r="V15" i="8"/>
  <c r="T53" i="8" s="1"/>
  <c r="U19" i="8"/>
  <c r="U27" i="8"/>
  <c r="W28" i="8" s="1"/>
  <c r="P20" i="3"/>
  <c r="R20" i="3" s="1"/>
  <c r="P19" i="3"/>
  <c r="P11" i="3"/>
  <c r="P7" i="3"/>
  <c r="U53" i="8" l="1"/>
  <c r="U51" i="8"/>
  <c r="T51" i="8"/>
  <c r="U45" i="8"/>
  <c r="U47" i="8"/>
  <c r="U49" i="8"/>
  <c r="W20" i="8"/>
  <c r="S31" i="8" s="1"/>
  <c r="U31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>Kursplanen gäller till och med vt 2024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Kursplanen gäller från och med vt 2025 och tillsvidare</t>
        </r>
      </text>
    </comment>
  </commentList>
</comments>
</file>

<file path=xl/sharedStrings.xml><?xml version="1.0" encoding="utf-8"?>
<sst xmlns="http://schemas.openxmlformats.org/spreadsheetml/2006/main" count="294" uniqueCount="137">
  <si>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</si>
  <si>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</si>
  <si>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</si>
  <si>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</si>
  <si>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</si>
  <si>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</si>
  <si>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</si>
  <si>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</si>
  <si>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</si>
  <si>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</si>
  <si>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</si>
  <si>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</si>
  <si>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</si>
  <si>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</si>
  <si>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</si>
  <si>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</si>
  <si>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</si>
  <si>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</si>
  <si>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</si>
  <si>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</si>
  <si>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</si>
  <si>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</si>
  <si>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</si>
  <si>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</si>
  <si>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</si>
  <si>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</si>
  <si>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</si>
  <si>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</si>
  <si>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</si>
  <si>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</si>
  <si>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</si>
  <si>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</si>
  <si>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</si>
  <si>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</si>
  <si>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</si>
  <si>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</si>
  <si>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</si>
  <si>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</si>
  <si>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</si>
  <si>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</si>
  <si>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</si>
  <si>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</si>
  <si>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</si>
  <si>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</si>
  <si>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</si>
  <si>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</si>
  <si>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</si>
  <si>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</si>
  <si>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</si>
  <si>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</si>
  <si>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</si>
  <si>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</si>
  <si>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</si>
  <si>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</si>
  <si>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</si>
  <si>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</si>
  <si>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</si>
  <si>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</si>
  <si>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</si>
  <si>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</si>
  <si>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</si>
  <si>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</si>
  <si>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</si>
  <si>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</si>
  <si>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</si>
  <si>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</si>
  <si>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</si>
  <si>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</si>
  <si>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</si>
  <si>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</si>
  <si>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</si>
  <si>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</si>
  <si>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</si>
  <si>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</si>
  <si>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</si>
  <si>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</si>
  <si>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</si>
  <si>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</si>
  <si>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BI1386</t>
  </si>
  <si>
    <t>Vegetation design</t>
  </si>
  <si>
    <t>LK0423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</si>
  <si>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</si>
  <si>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</si>
  <si>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</si>
  <si>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</si>
  <si>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</si>
  <si>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Environmental discourses and environmental communication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</si>
  <si>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</si>
  <si>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</si>
  <si>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</si>
  <si>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</si>
  <si>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</si>
  <si>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</si>
  <si>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</si>
  <si>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</si>
  <si>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</si>
  <si>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</si>
  <si>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</si>
  <si>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</si>
  <si>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FÖ0485</t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</si>
  <si>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</si>
  <si>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</si>
  <si>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</si>
  <si>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</si>
  <si>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</si>
  <si>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</si>
  <si>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</si>
  <si>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</si>
  <si>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</si>
  <si>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</si>
  <si>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</si>
  <si>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</si>
  <si>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man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</si>
  <si>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man riktar in sig på. </t>
    </r>
  </si>
  <si>
    <r>
      <rPr>
        <b/>
        <sz val="12"/>
        <color theme="1"/>
        <rFont val="Calibri"/>
        <family val="2"/>
        <scheme val="minor"/>
      </rPr>
      <t xml:space="preserve">1. Spara ner </t>
    </r>
    <r>
      <rPr>
        <sz val="12"/>
        <color theme="1"/>
        <rFont val="Calibri"/>
        <family val="2"/>
        <scheme val="minor"/>
      </rPr>
      <t>den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</si>
  <si>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</si>
  <si>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</si>
  <si>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</si>
  <si>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</si>
  <si>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</si>
  <si>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</si>
  <si>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LK0424/LK0434</t>
  </si>
  <si>
    <t>Silviculture in forest and landscape</t>
  </si>
  <si>
    <t>SV0022/SV0053</t>
  </si>
  <si>
    <t>SV0023/SV0052</t>
  </si>
  <si>
    <t>LK0425/LK0444</t>
  </si>
  <si>
    <t>BI1385/BI1452</t>
  </si>
  <si>
    <t>LK0394/LK0448</t>
  </si>
  <si>
    <t>BI1451</t>
  </si>
  <si>
    <t>SV0001/SV0040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</si>
  <si>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</si>
  <si>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>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</si>
  <si>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</si>
  <si>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</si>
  <si>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Kraven behöver endast vara uppfyllda inom ett huvudområde</t>
  </si>
  <si>
    <t>Används ej</t>
  </si>
  <si>
    <r>
      <rPr>
        <b/>
        <sz val="12"/>
        <color theme="1"/>
        <rFont val="Calibri"/>
        <family val="2"/>
        <scheme val="minor"/>
      </rPr>
      <t>3. Om kursen har två huvudområden,</t>
    </r>
    <r>
      <rPr>
        <sz val="12"/>
        <color theme="1"/>
        <rFont val="Calibri"/>
        <family val="2"/>
        <scheme val="minor"/>
      </rPr>
      <t xml:space="preserve"> välj då vilket huvudområde i kolumn O kursen ska räknas som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</si>
</sst>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7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8" fillId="0" borderId="14" xfId="0" applyFont="1" applyFill="1" applyBorder="1" applyProtection="1"/>
    <xf numFmtId="0" fontId="28" fillId="3" borderId="2" xfId="0" applyFont="1" applyFill="1" applyBorder="1" applyProtection="1"/>
    <xf numFmtId="0" fontId="31" fillId="4" borderId="33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/>
    </xf>
    <xf numFmtId="0" fontId="32" fillId="0" borderId="1" xfId="0" applyFont="1" applyFill="1" applyBorder="1" applyAlignment="1" applyProtection="1">
      <alignment horizontal="center"/>
    </xf>
    <xf numFmtId="0" fontId="32" fillId="10" borderId="33" xfId="0" applyFont="1" applyFill="1" applyBorder="1" applyAlignment="1" applyProtection="1">
      <alignment horizontal="center"/>
    </xf>
    <xf numFmtId="0" fontId="32" fillId="0" borderId="13" xfId="0" applyFont="1" applyFill="1" applyBorder="1" applyAlignment="1" applyProtection="1">
      <alignment horizontal="center"/>
    </xf>
    <xf numFmtId="0" fontId="32" fillId="0" borderId="1" xfId="0" applyFont="1" applyBorder="1" applyProtection="1"/>
    <xf numFmtId="0" fontId="32" fillId="2" borderId="33" xfId="0" applyFont="1" applyFill="1" applyBorder="1" applyAlignment="1" applyProtection="1">
      <alignment horizontal="center"/>
    </xf>
    <xf numFmtId="0" fontId="32" fillId="0" borderId="1" xfId="0" applyFont="1" applyFill="1" applyBorder="1" applyProtection="1"/>
    <xf numFmtId="0" fontId="32" fillId="0" borderId="1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3" borderId="0" xfId="0" applyFont="1" applyFill="1" applyBorder="1" applyProtection="1">
      <protection locked="0"/>
    </xf>
    <xf numFmtId="0" fontId="32" fillId="3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  <xf numFmtId="0" fontId="33" fillId="5" borderId="13" xfId="0" applyFont="1" applyFill="1" applyBorder="1" applyAlignment="1" applyProtection="1">
      <alignment horizontal="center" vertical="center" wrapText="1"/>
      <protection locked="0"/>
    </xf>
    <xf numFmtId="0" fontId="33" fillId="5" borderId="22" xfId="0" applyFont="1" applyFill="1" applyBorder="1" applyAlignment="1" applyProtection="1">
      <alignment horizontal="center" vertical="center" wrapText="1"/>
      <protection locked="0"/>
    </xf>
    <xf numFmtId="0" fontId="32" fillId="11" borderId="1" xfId="0" applyFont="1" applyFill="1" applyBorder="1" applyAlignment="1" applyProtection="1">
      <alignment horizontal="center"/>
    </xf>
    <xf numFmtId="0" fontId="32" fillId="11" borderId="13" xfId="0" applyFont="1" applyFill="1" applyBorder="1" applyAlignment="1" applyProtection="1">
      <alignment horizontal="center"/>
    </xf>
    <xf numFmtId="0" fontId="32" fillId="11" borderId="13" xfId="0" applyFont="1" applyFill="1" applyBorder="1" applyProtection="1"/>
    <xf numFmtId="0" fontId="32" fillId="11" borderId="1" xfId="0" applyFont="1" applyFill="1" applyBorder="1" applyProtection="1"/>
    <xf numFmtId="0" fontId="32" fillId="11" borderId="4" xfId="0" applyFont="1" applyFill="1" applyBorder="1" applyProtection="1"/>
    <xf numFmtId="0" fontId="15" fillId="3" borderId="0" xfId="0" applyFont="1" applyFill="1" applyBorder="1" applyAlignment="1">
      <alignment horizontal="left" wrapText="1"/>
    </xf>
    <xf numFmtId="0" fontId="15" fillId="3" borderId="20" xfId="0" applyFont="1" applyFill="1" applyBorder="1" applyAlignment="1">
      <alignment horizontal="left" wrapText="1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25" xfId="0" applyFont="1" applyFill="1" applyBorder="1" applyAlignment="1" applyProtection="1">
      <alignment vertical="center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36</xdr:row>
      <xdr:rowOff>259079</xdr:rowOff>
    </xdr:from>
    <xdr:to>
      <xdr:col>22</xdr:col>
      <xdr:colOff>106680</xdr:colOff>
      <xdr:row>37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207646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O5" sqref="O5"/>
    </sheetView>
  </sheetViews>
  <sheetFormatPr defaultColWidth="9.140625" defaultRowHeight="15" x14ac:dyDescent="0.25"/>
  <cols>
    <col min="1" max="1" width="5" style="211" customWidth="1"/>
    <col min="2" max="2" width="3.140625" style="211" customWidth="1"/>
    <col min="3" max="8" width="9.140625" style="211"/>
    <col min="9" max="9" width="13.140625" style="211" customWidth="1"/>
    <col min="10" max="16384" width="9.140625" style="211"/>
  </cols>
  <sheetData>
    <row r="2" spans="2:9" s="207" customFormat="1" ht="26.25" x14ac:dyDescent="0.4">
      <c r="B2" s="248" t="s">
        <v>111</v>
      </c>
      <c r="C2" s="248"/>
      <c r="D2" s="248"/>
      <c r="E2" s="248"/>
      <c r="F2" s="248"/>
      <c r="G2" s="248"/>
      <c r="H2" s="248"/>
      <c r="I2" s="248"/>
    </row>
    <row r="3" spans="2:9" s="207" customFormat="1" ht="18" customHeight="1" x14ac:dyDescent="0.4"/>
    <row r="4" spans="2:9" ht="15.75" x14ac:dyDescent="0.25">
      <c r="B4" s="208"/>
      <c r="C4" s="209"/>
      <c r="D4" s="209"/>
      <c r="E4" s="209"/>
      <c r="F4" s="209"/>
      <c r="G4" s="209"/>
      <c r="H4" s="209"/>
      <c r="I4" s="210"/>
    </row>
    <row r="5" spans="2:9" ht="37.5" customHeight="1" x14ac:dyDescent="0.25">
      <c r="B5" s="212"/>
      <c r="C5" s="246" t="s">
        <v>114</v>
      </c>
      <c r="D5" s="246"/>
      <c r="E5" s="246"/>
      <c r="F5" s="246"/>
      <c r="G5" s="246"/>
      <c r="H5" s="246"/>
      <c r="I5" s="247"/>
    </row>
    <row r="6" spans="2:9" ht="90" customHeight="1" x14ac:dyDescent="0.25">
      <c r="B6" s="212"/>
      <c r="C6" s="246" t="s">
        <v>112</v>
      </c>
      <c r="D6" s="246"/>
      <c r="E6" s="246"/>
      <c r="F6" s="246"/>
      <c r="G6" s="246"/>
      <c r="H6" s="246"/>
      <c r="I6" s="247"/>
    </row>
    <row r="7" spans="2:9" ht="13.5" customHeight="1" x14ac:dyDescent="0.25">
      <c r="B7" s="212"/>
      <c r="C7" s="249" t="s">
        <v>133</v>
      </c>
      <c r="D7" s="249"/>
      <c r="E7" s="249"/>
      <c r="F7" s="249"/>
      <c r="G7" s="249"/>
      <c r="H7" s="249"/>
      <c r="I7" s="250"/>
    </row>
    <row r="8" spans="2:9" ht="41.25" customHeight="1" x14ac:dyDescent="0.25">
      <c r="B8" s="212"/>
      <c r="C8" s="249"/>
      <c r="D8" s="249"/>
      <c r="E8" s="249"/>
      <c r="F8" s="249"/>
      <c r="G8" s="249"/>
      <c r="H8" s="249"/>
      <c r="I8" s="250"/>
    </row>
    <row r="9" spans="2:9" ht="35.25" customHeight="1" x14ac:dyDescent="0.25">
      <c r="B9" s="212"/>
      <c r="C9" s="392" t="s">
        <v>136</v>
      </c>
      <c r="D9" s="392"/>
      <c r="E9" s="392"/>
      <c r="F9" s="392"/>
      <c r="G9" s="392"/>
      <c r="H9" s="392"/>
      <c r="I9" s="393"/>
    </row>
    <row r="10" spans="2:9" ht="15" customHeight="1" x14ac:dyDescent="0.25">
      <c r="B10" s="212"/>
      <c r="C10" s="213"/>
      <c r="D10" s="213"/>
      <c r="E10" s="213"/>
      <c r="F10" s="213"/>
      <c r="G10" s="213"/>
      <c r="H10" s="213"/>
      <c r="I10" s="214"/>
    </row>
    <row r="11" spans="2:9" ht="76.5" customHeight="1" x14ac:dyDescent="0.25">
      <c r="B11" s="212"/>
      <c r="C11" s="246" t="s">
        <v>113</v>
      </c>
      <c r="D11" s="246"/>
      <c r="E11" s="246"/>
      <c r="F11" s="246"/>
      <c r="G11" s="246"/>
      <c r="H11" s="246"/>
      <c r="I11" s="247"/>
    </row>
    <row r="12" spans="2:9" ht="4.9000000000000004" customHeight="1" x14ac:dyDescent="0.25">
      <c r="B12" s="212"/>
      <c r="C12" s="242" t="s">
        <v>115</v>
      </c>
      <c r="D12" s="242"/>
      <c r="E12" s="242"/>
      <c r="F12" s="242"/>
      <c r="G12" s="242"/>
      <c r="H12" s="242"/>
      <c r="I12" s="243"/>
    </row>
    <row r="13" spans="2:9" x14ac:dyDescent="0.25">
      <c r="B13" s="215"/>
      <c r="C13" s="244"/>
      <c r="D13" s="244"/>
      <c r="E13" s="244"/>
      <c r="F13" s="244"/>
      <c r="G13" s="244"/>
      <c r="H13" s="244"/>
      <c r="I13" s="245"/>
    </row>
  </sheetData>
  <mergeCells count="7">
    <mergeCell ref="C12:I13"/>
    <mergeCell ref="C6:I6"/>
    <mergeCell ref="B2:I2"/>
    <mergeCell ref="C5:I5"/>
    <mergeCell ref="C11:I11"/>
    <mergeCell ref="C7:I8"/>
    <mergeCell ref="C9:I9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2"/>
  <sheetViews>
    <sheetView showGridLines="0" tabSelected="1" zoomScaleNormal="100" workbookViewId="0">
      <selection activeCell="G30" sqref="G30"/>
    </sheetView>
  </sheetViews>
  <sheetFormatPr defaultColWidth="9.140625" defaultRowHeight="17.25" customHeight="1" x14ac:dyDescent="0.25"/>
  <cols>
    <col min="1" max="1" width="3.28515625" style="4" customWidth="1"/>
    <col min="2" max="2" width="8.28515625" style="4" customWidth="1"/>
    <col min="3" max="3" width="50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10" style="237" customWidth="1"/>
    <col min="12" max="12" width="9.5703125" style="237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9.28515625" style="5" customWidth="1"/>
    <col min="21" max="21" width="19.7109375" style="5" customWidth="1"/>
    <col min="22" max="22" width="8.42578125" style="5" customWidth="1"/>
    <col min="23" max="23" width="3.5703125" style="5" customWidth="1"/>
    <col min="24" max="16384" width="9.140625" style="5"/>
  </cols>
  <sheetData>
    <row r="1" spans="2:49" ht="46.5" customHeight="1" thickBot="1" x14ac:dyDescent="0.3">
      <c r="B1" s="311" t="s">
        <v>130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35">
      <c r="B2" s="339" t="s">
        <v>77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1"/>
      <c r="P2" s="6"/>
      <c r="Q2" s="270" t="s">
        <v>98</v>
      </c>
      <c r="R2" s="271"/>
      <c r="S2" s="271"/>
      <c r="T2" s="271"/>
      <c r="U2" s="272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35">
      <c r="B3" s="342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4"/>
      <c r="Q3" s="273" t="s">
        <v>59</v>
      </c>
      <c r="R3" s="274"/>
      <c r="S3" s="274"/>
      <c r="T3" s="274"/>
      <c r="U3" s="283" t="s">
        <v>54</v>
      </c>
      <c r="V3" s="4"/>
      <c r="W3" s="4"/>
      <c r="X3" s="345" t="s">
        <v>134</v>
      </c>
      <c r="Y3" s="346"/>
      <c r="Z3" s="347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35">
      <c r="B4" s="342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4"/>
      <c r="Q4" s="65" t="s">
        <v>38</v>
      </c>
      <c r="R4" s="66"/>
      <c r="S4" s="67" t="s">
        <v>1</v>
      </c>
      <c r="T4" s="67" t="s">
        <v>14</v>
      </c>
      <c r="U4" s="283"/>
      <c r="V4" s="4"/>
      <c r="W4" s="4"/>
      <c r="X4" s="348"/>
      <c r="Y4" s="349"/>
      <c r="Z4" s="350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25">
      <c r="B5" s="241"/>
      <c r="C5" s="240"/>
      <c r="D5" s="240"/>
      <c r="E5" s="240"/>
      <c r="F5" s="296" t="s">
        <v>36</v>
      </c>
      <c r="G5" s="298" t="s">
        <v>37</v>
      </c>
      <c r="H5" s="302" t="s">
        <v>51</v>
      </c>
      <c r="I5" s="303"/>
      <c r="J5" s="304"/>
      <c r="K5" s="308" t="s">
        <v>131</v>
      </c>
      <c r="L5" s="300" t="s">
        <v>132</v>
      </c>
      <c r="M5" s="300" t="s">
        <v>52</v>
      </c>
      <c r="N5" s="300" t="s">
        <v>62</v>
      </c>
      <c r="O5" s="281" t="s">
        <v>16</v>
      </c>
      <c r="Q5" s="68" t="s">
        <v>68</v>
      </c>
      <c r="R5" s="69"/>
      <c r="S5" s="70">
        <f>SUMIFS(D8:D37,N8:N37,"x")</f>
        <v>0</v>
      </c>
      <c r="T5" s="70">
        <v>180</v>
      </c>
      <c r="U5" s="71">
        <f>IF((T5-S5)&lt;0,0,SUM(T5-S5))</f>
        <v>180</v>
      </c>
      <c r="V5" s="7"/>
      <c r="W5" s="7"/>
      <c r="X5" s="348"/>
      <c r="Y5" s="349"/>
      <c r="Z5" s="350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25">
      <c r="B6" s="8" t="s">
        <v>44</v>
      </c>
      <c r="C6" s="9" t="s">
        <v>0</v>
      </c>
      <c r="D6" s="9" t="s">
        <v>3</v>
      </c>
      <c r="E6" s="9" t="s">
        <v>15</v>
      </c>
      <c r="F6" s="297"/>
      <c r="G6" s="299"/>
      <c r="H6" s="113" t="s">
        <v>50</v>
      </c>
      <c r="I6" s="238" t="s">
        <v>6</v>
      </c>
      <c r="J6" s="238" t="s">
        <v>96</v>
      </c>
      <c r="K6" s="309"/>
      <c r="L6" s="310"/>
      <c r="M6" s="301"/>
      <c r="N6" s="301"/>
      <c r="O6" s="282"/>
      <c r="Q6" s="72" t="s">
        <v>63</v>
      </c>
      <c r="R6" s="69"/>
      <c r="S6" s="73">
        <f>SUMIFS(D8:D37,O8:O37,"Skogsbruksvetenskap",E8:E37,"G1N",N8:N37,"x")+SUMIFS(D8:D37,O8:O37,"Skogsbruksvetenskap",E8:E37,"G1F",N8:N37,"x")+SUMIFS(D8:D37,O8:O37,"Skogsbruksvetenskap",E8:E37,"G2F",N8:N37,"X")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348"/>
      <c r="Y6" s="349"/>
      <c r="Z6" s="350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25">
      <c r="B7" s="10"/>
      <c r="C7" s="11" t="s">
        <v>71</v>
      </c>
      <c r="D7" s="11"/>
      <c r="E7" s="11"/>
      <c r="F7" s="12"/>
      <c r="G7" s="12"/>
      <c r="H7" s="12"/>
      <c r="I7" s="13"/>
      <c r="J7" s="14"/>
      <c r="K7" s="225"/>
      <c r="L7" s="225"/>
      <c r="M7" s="14"/>
      <c r="N7" s="14"/>
      <c r="O7" s="15"/>
      <c r="Q7" s="72" t="s">
        <v>64</v>
      </c>
      <c r="R7" s="69"/>
      <c r="S7" s="73">
        <f>SUMIFS(D8:D37,O8:O37,"Skogsbruksvetenskap",E8:E37,"G2F",N8:N37,"x")</f>
        <v>0</v>
      </c>
      <c r="T7" s="73">
        <v>15</v>
      </c>
      <c r="U7" s="71">
        <f>IF((T7-S7)&lt;0,0,SUM(T7-S7))</f>
        <v>15</v>
      </c>
      <c r="V7" s="7"/>
      <c r="W7" s="7"/>
      <c r="X7" s="348"/>
      <c r="Y7" s="349"/>
      <c r="Z7" s="350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25">
      <c r="B8" s="221" t="s">
        <v>126</v>
      </c>
      <c r="C8" s="53" t="s">
        <v>94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>
        <v>15</v>
      </c>
      <c r="N8" s="17"/>
      <c r="O8" s="18"/>
      <c r="P8" s="19"/>
      <c r="Q8" s="72" t="s">
        <v>60</v>
      </c>
      <c r="R8" s="74"/>
      <c r="S8" s="73">
        <f>SUMIFS(D8:D51,O8:O51,"Skogsbruksvetenskap",E8:E51,"G2E",N8:N51,"X")</f>
        <v>0</v>
      </c>
      <c r="T8" s="75">
        <v>15</v>
      </c>
      <c r="U8" s="71">
        <f>IF((T8-S8)&lt;0,0,SUM(T8-S8))</f>
        <v>15</v>
      </c>
      <c r="V8" s="193">
        <f>SUM(U5:U8)</f>
        <v>285</v>
      </c>
      <c r="W8" s="19"/>
      <c r="X8" s="348"/>
      <c r="Y8" s="349"/>
      <c r="Z8" s="350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0.75" customHeight="1" x14ac:dyDescent="0.25">
      <c r="B9" s="221" t="s">
        <v>127</v>
      </c>
      <c r="C9" s="56" t="s">
        <v>95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 t="s">
        <v>26</v>
      </c>
      <c r="Q9" s="76" t="s">
        <v>90</v>
      </c>
      <c r="R9" s="77"/>
      <c r="S9" s="77"/>
      <c r="T9" s="77"/>
      <c r="U9" s="283" t="s">
        <v>54</v>
      </c>
      <c r="V9" s="20"/>
      <c r="W9" s="19"/>
      <c r="X9" s="348"/>
      <c r="Y9" s="349"/>
      <c r="Z9" s="35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3">
      <c r="B10" s="224" t="s">
        <v>78</v>
      </c>
      <c r="C10" s="223" t="s">
        <v>45</v>
      </c>
      <c r="D10" s="57">
        <v>15</v>
      </c>
      <c r="E10" s="57" t="s">
        <v>20</v>
      </c>
      <c r="F10" s="58" t="s">
        <v>5</v>
      </c>
      <c r="G10" s="57" t="s">
        <v>4</v>
      </c>
      <c r="H10" s="57"/>
      <c r="I10" s="57">
        <v>15</v>
      </c>
      <c r="J10" s="57"/>
      <c r="K10" s="57"/>
      <c r="L10" s="57"/>
      <c r="M10" s="57">
        <v>15</v>
      </c>
      <c r="N10" s="31"/>
      <c r="O10" s="18"/>
      <c r="Q10" s="78" t="s">
        <v>38</v>
      </c>
      <c r="R10" s="79"/>
      <c r="S10" s="79" t="s">
        <v>1</v>
      </c>
      <c r="T10" s="195" t="s">
        <v>14</v>
      </c>
      <c r="U10" s="283"/>
      <c r="V10" s="20"/>
      <c r="W10" s="19"/>
      <c r="X10" s="348"/>
      <c r="Y10" s="349"/>
      <c r="Z10" s="35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27.75" customHeight="1" x14ac:dyDescent="0.25">
      <c r="B11" s="224" t="s">
        <v>128</v>
      </c>
      <c r="C11" s="223" t="s">
        <v>45</v>
      </c>
      <c r="D11" s="57">
        <v>15</v>
      </c>
      <c r="E11" s="57" t="s">
        <v>20</v>
      </c>
      <c r="F11" s="58" t="s">
        <v>5</v>
      </c>
      <c r="G11" s="57"/>
      <c r="H11" s="57"/>
      <c r="I11" s="57"/>
      <c r="J11" s="57"/>
      <c r="K11" s="227"/>
      <c r="L11" s="227"/>
      <c r="M11" s="57">
        <v>15</v>
      </c>
      <c r="N11" s="31"/>
      <c r="O11" s="18" t="s">
        <v>5</v>
      </c>
      <c r="Q11" s="68" t="s">
        <v>69</v>
      </c>
      <c r="R11" s="80"/>
      <c r="S11" s="81">
        <f>SUMIFS(D8:D37,N8:N37,"X")</f>
        <v>0</v>
      </c>
      <c r="T11" s="81">
        <v>180</v>
      </c>
      <c r="U11" s="82">
        <f>IF((T11-S11)&lt;0,0,SUM(T11-S11))</f>
        <v>180</v>
      </c>
      <c r="V11" s="20"/>
      <c r="W11" s="19"/>
      <c r="X11" s="348"/>
      <c r="Y11" s="349"/>
      <c r="Z11" s="350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32.25" customHeight="1" x14ac:dyDescent="0.25">
      <c r="B12" s="221" t="s">
        <v>129</v>
      </c>
      <c r="C12" s="56" t="s">
        <v>46</v>
      </c>
      <c r="D12" s="57">
        <v>15</v>
      </c>
      <c r="E12" s="57" t="s">
        <v>21</v>
      </c>
      <c r="F12" s="58" t="s">
        <v>4</v>
      </c>
      <c r="G12" s="57"/>
      <c r="H12" s="57">
        <v>2.5</v>
      </c>
      <c r="I12" s="57">
        <v>10</v>
      </c>
      <c r="J12" s="57">
        <v>2.5</v>
      </c>
      <c r="K12" s="227"/>
      <c r="L12" s="227"/>
      <c r="M12" s="57"/>
      <c r="N12" s="31"/>
      <c r="O12" s="18" t="s">
        <v>4</v>
      </c>
      <c r="Q12" s="72" t="s">
        <v>91</v>
      </c>
      <c r="R12" s="80"/>
      <c r="S12" s="83">
        <f>SUMIFS(D8:D37,O8:O37,"Landskapsarkitektur",E8:E37,"G1N",N8:N37,"X")+SUMIFS(D8:D37,O8:O37,"Landskapsarkitektur",E8:E37,"G1F",N8:N37,"X")+SUMIFS(D8:D37,O8:O37,"Landskapsarkitektur",E8:E37,"G2F",N8:N37,"X")</f>
        <v>0</v>
      </c>
      <c r="T12" s="83">
        <v>75</v>
      </c>
      <c r="U12" s="82">
        <f>IF((T12-S12)&lt;0,0,SUM(T12-S12))</f>
        <v>75</v>
      </c>
      <c r="V12" s="20"/>
      <c r="W12" s="19"/>
      <c r="X12" s="351"/>
      <c r="Y12" s="352"/>
      <c r="Z12" s="35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9" ht="27.75" customHeight="1" x14ac:dyDescent="0.25">
      <c r="B13" s="138"/>
      <c r="C13" s="139" t="s">
        <v>72</v>
      </c>
      <c r="D13" s="140"/>
      <c r="E13" s="140"/>
      <c r="F13" s="141"/>
      <c r="G13" s="140"/>
      <c r="H13" s="140"/>
      <c r="I13" s="140"/>
      <c r="J13" s="140"/>
      <c r="K13" s="228"/>
      <c r="L13" s="228"/>
      <c r="M13" s="140"/>
      <c r="N13" s="128"/>
      <c r="O13" s="129"/>
      <c r="Q13" s="72" t="s">
        <v>64</v>
      </c>
      <c r="R13" s="80"/>
      <c r="S13" s="83">
        <f>SUMIFS(D8:D37,O8:O37,"Landskapsarkitektur",E8:E37,"G2F",N8:N37,"X")</f>
        <v>0</v>
      </c>
      <c r="T13" s="83">
        <v>15</v>
      </c>
      <c r="U13" s="82">
        <f>IF((T13-S13)&lt;0,0,SUM(T13-S13))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27.75" customHeight="1" thickBot="1" x14ac:dyDescent="0.3">
      <c r="B14" s="52" t="s">
        <v>80</v>
      </c>
      <c r="C14" s="142" t="s">
        <v>79</v>
      </c>
      <c r="D14" s="59">
        <v>7.5</v>
      </c>
      <c r="E14" s="59" t="s">
        <v>21</v>
      </c>
      <c r="F14" s="60" t="s">
        <v>26</v>
      </c>
      <c r="G14" s="59"/>
      <c r="H14" s="59"/>
      <c r="I14" s="59"/>
      <c r="J14" s="59"/>
      <c r="K14" s="229"/>
      <c r="L14" s="229"/>
      <c r="M14" s="59"/>
      <c r="N14" s="114"/>
      <c r="O14" s="24" t="s">
        <v>26</v>
      </c>
      <c r="Q14" s="84" t="s">
        <v>92</v>
      </c>
      <c r="R14" s="85"/>
      <c r="S14" s="86">
        <f>SUMIFS(D8:D37,O8:O37,"Landskapsarkitektur",E8:E37,"G2E",N8:N37,"x")</f>
        <v>0</v>
      </c>
      <c r="T14" s="86">
        <v>15</v>
      </c>
      <c r="U14" s="149">
        <f t="shared" ref="U14" si="1">IF((T14-11)&lt;0,0,SUM(T14-S14))</f>
        <v>15</v>
      </c>
      <c r="V14" s="20"/>
      <c r="W14" s="19"/>
      <c r="X14" s="19"/>
      <c r="Y14" s="23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30.75" customHeight="1" thickBot="1" x14ac:dyDescent="0.3">
      <c r="B15" s="221" t="s">
        <v>121</v>
      </c>
      <c r="C15" s="63" t="s">
        <v>81</v>
      </c>
      <c r="D15" s="57">
        <v>7.5</v>
      </c>
      <c r="E15" s="57" t="s">
        <v>21</v>
      </c>
      <c r="F15" s="58" t="s">
        <v>26</v>
      </c>
      <c r="G15" s="143"/>
      <c r="H15" s="143"/>
      <c r="I15" s="143"/>
      <c r="J15" s="143"/>
      <c r="K15" s="230"/>
      <c r="L15" s="230"/>
      <c r="M15" s="143"/>
      <c r="N15" s="41"/>
      <c r="O15" s="24" t="s">
        <v>26</v>
      </c>
      <c r="Q15" s="4"/>
      <c r="R15" s="4"/>
      <c r="S15" s="4"/>
      <c r="T15" s="4"/>
      <c r="U15" s="4"/>
      <c r="V15" s="192">
        <f>SUM(U11:U14)</f>
        <v>285</v>
      </c>
      <c r="W15" s="51">
        <f>SUM(S12+S14)</f>
        <v>0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35">
      <c r="B16" s="144" t="s">
        <v>82</v>
      </c>
      <c r="C16" s="64" t="s">
        <v>47</v>
      </c>
      <c r="D16" s="57">
        <v>7.5</v>
      </c>
      <c r="E16" s="57" t="s">
        <v>21</v>
      </c>
      <c r="F16" s="58" t="s">
        <v>4</v>
      </c>
      <c r="G16" s="57"/>
      <c r="H16" s="57">
        <v>5</v>
      </c>
      <c r="I16" s="57"/>
      <c r="J16" s="57">
        <v>2.5</v>
      </c>
      <c r="K16" s="227"/>
      <c r="L16" s="227"/>
      <c r="M16" s="57"/>
      <c r="N16" s="21"/>
      <c r="O16" s="24" t="s">
        <v>4</v>
      </c>
      <c r="Q16" s="305" t="s">
        <v>58</v>
      </c>
      <c r="R16" s="306"/>
      <c r="S16" s="306"/>
      <c r="T16" s="306"/>
      <c r="U16" s="307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5">
      <c r="B17" s="52" t="s">
        <v>83</v>
      </c>
      <c r="C17" s="61" t="s">
        <v>48</v>
      </c>
      <c r="D17" s="57">
        <v>7.5</v>
      </c>
      <c r="E17" s="57" t="s">
        <v>21</v>
      </c>
      <c r="F17" s="58" t="s">
        <v>4</v>
      </c>
      <c r="G17" s="57"/>
      <c r="H17" s="57"/>
      <c r="I17" s="57">
        <v>5</v>
      </c>
      <c r="J17" s="57"/>
      <c r="K17" s="227"/>
      <c r="L17" s="227"/>
      <c r="M17" s="57"/>
      <c r="N17" s="31"/>
      <c r="O17" s="24" t="s">
        <v>4</v>
      </c>
      <c r="Q17" s="290" t="s">
        <v>55</v>
      </c>
      <c r="R17" s="291"/>
      <c r="S17" s="291"/>
      <c r="T17" s="291"/>
      <c r="U17" s="292" t="s">
        <v>54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27.75" customHeight="1" x14ac:dyDescent="0.3">
      <c r="B18" s="52" t="s">
        <v>84</v>
      </c>
      <c r="C18" s="61" t="s">
        <v>85</v>
      </c>
      <c r="D18" s="57">
        <v>15</v>
      </c>
      <c r="E18" s="57" t="s">
        <v>21</v>
      </c>
      <c r="F18" s="58" t="s">
        <v>5</v>
      </c>
      <c r="G18" s="57" t="s">
        <v>26</v>
      </c>
      <c r="H18" s="57"/>
      <c r="I18" s="57"/>
      <c r="J18" s="57"/>
      <c r="K18" s="227"/>
      <c r="L18" s="227"/>
      <c r="M18" s="57"/>
      <c r="N18" s="31"/>
      <c r="O18" s="24"/>
      <c r="Q18" s="87" t="s">
        <v>38</v>
      </c>
      <c r="R18" s="88"/>
      <c r="S18" s="89" t="s">
        <v>1</v>
      </c>
      <c r="T18" s="89" t="s">
        <v>14</v>
      </c>
      <c r="U18" s="293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33" customHeight="1" x14ac:dyDescent="0.25">
      <c r="B19" s="221" t="s">
        <v>125</v>
      </c>
      <c r="C19" s="61" t="s">
        <v>86</v>
      </c>
      <c r="D19" s="57">
        <v>15</v>
      </c>
      <c r="E19" s="57" t="s">
        <v>21</v>
      </c>
      <c r="F19" s="58" t="s">
        <v>26</v>
      </c>
      <c r="G19" s="57"/>
      <c r="H19" s="57"/>
      <c r="I19" s="57"/>
      <c r="J19" s="57"/>
      <c r="K19" s="227"/>
      <c r="L19" s="227"/>
      <c r="M19" s="57"/>
      <c r="N19" s="31"/>
      <c r="O19" s="24" t="s">
        <v>26</v>
      </c>
      <c r="Q19" s="106" t="s">
        <v>8</v>
      </c>
      <c r="R19" s="90"/>
      <c r="S19" s="119">
        <f>SUMIFS(D8:D57,O8:O57,"Skogsbruksvetenskap",N8:N57,"X")</f>
        <v>0</v>
      </c>
      <c r="T19" s="119">
        <v>135</v>
      </c>
      <c r="U19" s="191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25">
      <c r="B20" s="52" t="s">
        <v>65</v>
      </c>
      <c r="C20" s="61" t="s">
        <v>66</v>
      </c>
      <c r="D20" s="57">
        <v>7.5</v>
      </c>
      <c r="E20" s="57" t="s">
        <v>20</v>
      </c>
      <c r="F20" s="58" t="s">
        <v>4</v>
      </c>
      <c r="G20" s="57" t="s">
        <v>5</v>
      </c>
      <c r="H20" s="57">
        <v>2</v>
      </c>
      <c r="I20" s="57">
        <v>4</v>
      </c>
      <c r="J20" s="57">
        <v>1.5</v>
      </c>
      <c r="K20" s="227"/>
      <c r="L20" s="227"/>
      <c r="M20" s="57">
        <v>7.5</v>
      </c>
      <c r="N20" s="31"/>
      <c r="O20" s="24"/>
      <c r="Q20" s="92" t="s">
        <v>9</v>
      </c>
      <c r="R20" s="93"/>
      <c r="S20" s="94">
        <f>SUMIFS(H8:H57,N8:N57,"X")</f>
        <v>0</v>
      </c>
      <c r="T20" s="94">
        <v>15</v>
      </c>
      <c r="U20" s="186">
        <f t="shared" ref="U20:U23" si="2">IF((T20-S20)&lt;0,0,SUM(T20-S20))</f>
        <v>15</v>
      </c>
      <c r="V20" s="51"/>
      <c r="W20" s="192">
        <f>IF(U19&lt;=0,T19,S19)</f>
        <v>0</v>
      </c>
      <c r="X20" s="51"/>
      <c r="Y20" s="4"/>
      <c r="Z20" s="322"/>
      <c r="AA20" s="322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27.75" customHeight="1" x14ac:dyDescent="0.25">
      <c r="B21" s="145"/>
      <c r="C21" s="146" t="s">
        <v>87</v>
      </c>
      <c r="D21" s="147"/>
      <c r="E21" s="147"/>
      <c r="F21" s="148"/>
      <c r="G21" s="147"/>
      <c r="H21" s="147"/>
      <c r="I21" s="147"/>
      <c r="J21" s="147"/>
      <c r="K21" s="231"/>
      <c r="L21" s="231"/>
      <c r="M21" s="147"/>
      <c r="N21" s="130"/>
      <c r="O21" s="131"/>
      <c r="Q21" s="92" t="s">
        <v>6</v>
      </c>
      <c r="R21" s="93"/>
      <c r="S21" s="94">
        <f>SUMIFS(I8:I57,N8:N57,"X")</f>
        <v>0</v>
      </c>
      <c r="T21" s="94">
        <v>15</v>
      </c>
      <c r="U21" s="186">
        <f t="shared" si="2"/>
        <v>15</v>
      </c>
      <c r="V21" s="51"/>
      <c r="W21" s="51"/>
      <c r="X21" s="51"/>
      <c r="Y21" s="4"/>
      <c r="Z21" s="322"/>
      <c r="AA21" s="322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30.75" customHeight="1" x14ac:dyDescent="0.25">
      <c r="B22" s="222" t="s">
        <v>123</v>
      </c>
      <c r="C22" s="62" t="s">
        <v>122</v>
      </c>
      <c r="D22" s="54">
        <v>15</v>
      </c>
      <c r="E22" s="54" t="s">
        <v>21</v>
      </c>
      <c r="F22" s="55" t="s">
        <v>4</v>
      </c>
      <c r="G22" s="54" t="s">
        <v>26</v>
      </c>
      <c r="H22" s="54">
        <v>6</v>
      </c>
      <c r="I22" s="54">
        <v>5</v>
      </c>
      <c r="J22" s="54">
        <v>4</v>
      </c>
      <c r="K22" s="54">
        <v>1</v>
      </c>
      <c r="L22" s="226"/>
      <c r="M22" s="54"/>
      <c r="N22" s="17"/>
      <c r="O22" s="26"/>
      <c r="Q22" s="92" t="s">
        <v>7</v>
      </c>
      <c r="R22" s="95"/>
      <c r="S22" s="94">
        <f>SUMIFS(J8:J57,N8:N57,"X")</f>
        <v>0</v>
      </c>
      <c r="T22" s="96">
        <v>15</v>
      </c>
      <c r="U22" s="186">
        <f t="shared" si="2"/>
        <v>15</v>
      </c>
      <c r="V22" s="239"/>
      <c r="W22" s="51"/>
      <c r="X22" s="51"/>
      <c r="Y22" s="4"/>
      <c r="Z22" s="322"/>
      <c r="AA22" s="322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27.75" customHeight="1" x14ac:dyDescent="0.25">
      <c r="B23" s="52" t="s">
        <v>99</v>
      </c>
      <c r="C23" s="61" t="s">
        <v>100</v>
      </c>
      <c r="D23" s="57">
        <v>15</v>
      </c>
      <c r="E23" s="57" t="s">
        <v>20</v>
      </c>
      <c r="F23" s="58" t="s">
        <v>2</v>
      </c>
      <c r="G23" s="57"/>
      <c r="H23" s="63"/>
      <c r="I23" s="57"/>
      <c r="J23" s="63"/>
      <c r="K23" s="232"/>
      <c r="L23" s="232"/>
      <c r="M23" s="63"/>
      <c r="N23" s="17"/>
      <c r="O23" s="26" t="s">
        <v>2</v>
      </c>
      <c r="Q23" s="92" t="s">
        <v>41</v>
      </c>
      <c r="R23" s="95"/>
      <c r="S23" s="96">
        <f>SUMIFS(D8:D57,O8:O57,"Skogsbruksvetenskap",E8:E57,"G2F",N8:N57,"X")</f>
        <v>0</v>
      </c>
      <c r="T23" s="96">
        <v>15</v>
      </c>
      <c r="U23" s="186">
        <f t="shared" si="2"/>
        <v>15</v>
      </c>
      <c r="V23" s="51"/>
      <c r="W23" s="51"/>
      <c r="X23" s="51"/>
      <c r="Y23" s="4"/>
      <c r="Z23" s="322"/>
      <c r="AA23" s="32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33" customHeight="1" x14ac:dyDescent="0.25">
      <c r="B24" s="221" t="s">
        <v>124</v>
      </c>
      <c r="C24" s="61" t="s">
        <v>49</v>
      </c>
      <c r="D24" s="57">
        <v>15</v>
      </c>
      <c r="E24" s="57" t="s">
        <v>17</v>
      </c>
      <c r="F24" s="58" t="s">
        <v>4</v>
      </c>
      <c r="G24" s="57" t="s">
        <v>26</v>
      </c>
      <c r="H24" s="57">
        <v>15</v>
      </c>
      <c r="I24" s="57"/>
      <c r="J24" s="63"/>
      <c r="K24" s="232"/>
      <c r="L24" s="232"/>
      <c r="M24" s="63"/>
      <c r="N24" s="17"/>
      <c r="O24" s="26"/>
      <c r="Q24" s="92" t="s">
        <v>40</v>
      </c>
      <c r="R24" s="95"/>
      <c r="S24" s="96">
        <f>SUMIFS(D8:D57,O8:O57,"Skogsbruksvetenskap",E8:E57,"A1N",N8:N57,"X")+SUMIFS(D8:D57,O8:O57,"Skogsbruksvetenskap",E8:E57,"A1F",N8:N57,"x")</f>
        <v>0</v>
      </c>
      <c r="T24" s="96">
        <v>30</v>
      </c>
      <c r="U24" s="186">
        <f>IF((T24-S24)&lt;0,0,SUM(T24-S24))</f>
        <v>30</v>
      </c>
      <c r="V24" s="51"/>
      <c r="W24" s="51"/>
      <c r="X24" s="51"/>
      <c r="Y24" s="4"/>
      <c r="Z24" s="322"/>
      <c r="AA24" s="322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25">
      <c r="B25" s="52" t="s">
        <v>102</v>
      </c>
      <c r="C25" s="61" t="s">
        <v>88</v>
      </c>
      <c r="D25" s="57">
        <v>15</v>
      </c>
      <c r="E25" s="57" t="s">
        <v>18</v>
      </c>
      <c r="F25" s="58" t="s">
        <v>26</v>
      </c>
      <c r="G25" s="57"/>
      <c r="H25" s="63"/>
      <c r="I25" s="57"/>
      <c r="J25" s="63"/>
      <c r="K25" s="232"/>
      <c r="L25" s="232"/>
      <c r="M25" s="63"/>
      <c r="N25" s="17"/>
      <c r="O25" s="26" t="s">
        <v>26</v>
      </c>
      <c r="Q25" s="97" t="s">
        <v>10</v>
      </c>
      <c r="R25" s="98"/>
      <c r="S25" s="91">
        <f>SUMIFS(D8:D57,O8:O57,"Biologi",N8:N57,"x")</f>
        <v>0</v>
      </c>
      <c r="T25" s="91">
        <v>30</v>
      </c>
      <c r="U25" s="186">
        <f>IF((T25-S25)&lt;0,0,SUM(T25-S25))</f>
        <v>30</v>
      </c>
      <c r="V25" s="51"/>
      <c r="W25" s="51"/>
      <c r="X25" s="51"/>
      <c r="Y25" s="4"/>
      <c r="Z25" s="322"/>
      <c r="AA25" s="322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27.75" customHeight="1" x14ac:dyDescent="0.25">
      <c r="B26" s="52" t="s">
        <v>101</v>
      </c>
      <c r="C26" s="61" t="s">
        <v>89</v>
      </c>
      <c r="D26" s="57">
        <v>15</v>
      </c>
      <c r="E26" s="57" t="s">
        <v>18</v>
      </c>
      <c r="F26" s="58" t="s">
        <v>4</v>
      </c>
      <c r="G26" s="57"/>
      <c r="H26" s="63"/>
      <c r="I26" s="57"/>
      <c r="J26" s="63"/>
      <c r="K26" s="232"/>
      <c r="L26" s="232"/>
      <c r="M26" s="63"/>
      <c r="N26" s="17"/>
      <c r="O26" s="26" t="s">
        <v>4</v>
      </c>
      <c r="Q26" s="99" t="s">
        <v>11</v>
      </c>
      <c r="R26" s="93"/>
      <c r="S26" s="94">
        <f>SUMIFS(M8:M57,N8:N57,"X")</f>
        <v>0</v>
      </c>
      <c r="T26" s="94">
        <v>15</v>
      </c>
      <c r="U26" s="186">
        <f>IF((T26-S26)&lt;0,0,SUM(T26-S26))</f>
        <v>15</v>
      </c>
      <c r="V26" s="51"/>
      <c r="W26" s="192">
        <f>IF(U25&lt;=0,T25,S25)</f>
        <v>0</v>
      </c>
      <c r="X26" s="51"/>
      <c r="Y26" s="4"/>
      <c r="Z26" s="322"/>
      <c r="AA26" s="322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50.25" customHeight="1" x14ac:dyDescent="0.25">
      <c r="B27" s="216" t="s">
        <v>44</v>
      </c>
      <c r="C27" s="220" t="s">
        <v>76</v>
      </c>
      <c r="D27" s="217" t="s">
        <v>3</v>
      </c>
      <c r="E27" s="218" t="s">
        <v>15</v>
      </c>
      <c r="F27" s="219" t="s">
        <v>36</v>
      </c>
      <c r="G27" s="218" t="s">
        <v>37</v>
      </c>
      <c r="H27" s="395" t="s">
        <v>50</v>
      </c>
      <c r="I27" s="395" t="s">
        <v>6</v>
      </c>
      <c r="J27" s="395" t="s">
        <v>96</v>
      </c>
      <c r="K27" s="394" t="s">
        <v>131</v>
      </c>
      <c r="L27" s="394" t="s">
        <v>132</v>
      </c>
      <c r="M27" s="395" t="s">
        <v>52</v>
      </c>
      <c r="N27" s="395" t="s">
        <v>93</v>
      </c>
      <c r="O27" s="396"/>
      <c r="Q27" s="97" t="s">
        <v>12</v>
      </c>
      <c r="R27" s="93"/>
      <c r="S27" s="91">
        <f>SUMIFS(D8:D57,O8:O57,"Företagsekonomi",N8:N57,"X")+SUMIFS(D8:D57,O8:O57,"Nationalekonomi",N8:N57,"X")+SUMIFS(D8:D57,O8:O57,"Bioekonomimanagement",N8:N57,"X")</f>
        <v>0</v>
      </c>
      <c r="T27" s="91">
        <v>30</v>
      </c>
      <c r="U27" s="186">
        <f>IF((T27-S27)&lt;0,0,SUM(T27-S27))</f>
        <v>30</v>
      </c>
      <c r="V27" s="51"/>
      <c r="W27" s="51"/>
      <c r="X27" s="51"/>
      <c r="Y27" s="4"/>
      <c r="Z27" s="322"/>
      <c r="AA27" s="32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thickBot="1" x14ac:dyDescent="0.3">
      <c r="B28" s="16"/>
      <c r="C28" s="40"/>
      <c r="D28" s="40"/>
      <c r="E28" s="21"/>
      <c r="F28" s="22"/>
      <c r="G28" s="21"/>
      <c r="H28" s="40"/>
      <c r="I28" s="40"/>
      <c r="J28" s="40"/>
      <c r="K28" s="233"/>
      <c r="L28" s="233"/>
      <c r="M28" s="40"/>
      <c r="N28" s="40"/>
      <c r="O28" s="26"/>
      <c r="Q28" s="100" t="s">
        <v>2</v>
      </c>
      <c r="R28" s="101"/>
      <c r="S28" s="102">
        <f>SUMIFS(D8:D57,O8:O57,"Företagsekonomi",N8:N57,"X")</f>
        <v>0</v>
      </c>
      <c r="T28" s="102">
        <v>15</v>
      </c>
      <c r="U28" s="187">
        <f>IF((T28-S28)&lt;0,0,SUM(T28-S28))</f>
        <v>15</v>
      </c>
      <c r="V28" s="51"/>
      <c r="W28" s="192">
        <f>IF(U27&lt;=0,T27,S27)</f>
        <v>0</v>
      </c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5">
      <c r="B29" s="16"/>
      <c r="C29" s="40"/>
      <c r="D29" s="40"/>
      <c r="E29" s="21"/>
      <c r="F29" s="22"/>
      <c r="G29" s="21"/>
      <c r="H29" s="40"/>
      <c r="I29" s="40"/>
      <c r="J29" s="40"/>
      <c r="K29" s="233"/>
      <c r="L29" s="233"/>
      <c r="M29" s="40"/>
      <c r="N29" s="40"/>
      <c r="O29" s="26"/>
      <c r="Q29" s="329" t="s">
        <v>56</v>
      </c>
      <c r="R29" s="330"/>
      <c r="S29" s="330"/>
      <c r="T29" s="330"/>
      <c r="U29" s="331" t="s">
        <v>54</v>
      </c>
      <c r="V29" s="51"/>
      <c r="W29" s="51"/>
      <c r="X29" s="51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3">
      <c r="B30" s="16"/>
      <c r="C30" s="40"/>
      <c r="D30" s="40"/>
      <c r="E30" s="21"/>
      <c r="F30" s="22"/>
      <c r="G30" s="21"/>
      <c r="H30" s="40"/>
      <c r="I30" s="40"/>
      <c r="J30" s="40"/>
      <c r="K30" s="233"/>
      <c r="L30" s="233"/>
      <c r="M30" s="40"/>
      <c r="N30" s="40"/>
      <c r="O30" s="26"/>
      <c r="Q30" s="120" t="s">
        <v>38</v>
      </c>
      <c r="R30" s="103"/>
      <c r="S30" s="103" t="s">
        <v>1</v>
      </c>
      <c r="T30" s="103" t="s">
        <v>14</v>
      </c>
      <c r="U30" s="33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25">
      <c r="B31" s="16"/>
      <c r="C31" s="40"/>
      <c r="D31" s="40"/>
      <c r="E31" s="21"/>
      <c r="F31" s="22"/>
      <c r="G31" s="21"/>
      <c r="H31" s="40"/>
      <c r="I31" s="40"/>
      <c r="J31" s="40"/>
      <c r="K31" s="233"/>
      <c r="L31" s="233"/>
      <c r="M31" s="40"/>
      <c r="N31" s="40"/>
      <c r="O31" s="26"/>
      <c r="Q31" s="104" t="s">
        <v>57</v>
      </c>
      <c r="R31" s="105"/>
      <c r="S31" s="190">
        <f>SUMIFS(D8:D57,N8:N57,"X")-(W20+W26+W28)-SUMIFS(D8:D57,O8:O57,"Annat ämne",N8:N57,"X")</f>
        <v>0</v>
      </c>
      <c r="T31" s="119">
        <v>105</v>
      </c>
      <c r="U31" s="204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25">
      <c r="B32" s="16"/>
      <c r="C32" s="40"/>
      <c r="D32" s="40"/>
      <c r="E32" s="21"/>
      <c r="F32" s="22"/>
      <c r="G32" s="21"/>
      <c r="H32" s="40"/>
      <c r="I32" s="40"/>
      <c r="J32" s="40"/>
      <c r="K32" s="233"/>
      <c r="L32" s="233"/>
      <c r="M32" s="40"/>
      <c r="N32" s="40"/>
      <c r="O32" s="26"/>
      <c r="Q32" s="106" t="s">
        <v>35</v>
      </c>
      <c r="R32" s="107"/>
      <c r="S32" s="121">
        <f>SUMIFS(D8:D57,E8:E57,"G2E",N8:N57,"X")</f>
        <v>0</v>
      </c>
      <c r="T32" s="121">
        <v>15</v>
      </c>
      <c r="U32" s="185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25">
      <c r="B33" s="16"/>
      <c r="C33" s="40"/>
      <c r="D33" s="40"/>
      <c r="E33" s="21"/>
      <c r="F33" s="22"/>
      <c r="G33" s="21"/>
      <c r="H33" s="40"/>
      <c r="I33" s="40"/>
      <c r="J33" s="40"/>
      <c r="K33" s="233"/>
      <c r="L33" s="233"/>
      <c r="M33" s="40"/>
      <c r="N33" s="40"/>
      <c r="O33" s="26"/>
      <c r="Q33" s="104" t="s">
        <v>119</v>
      </c>
      <c r="R33" s="107"/>
      <c r="S33" s="121">
        <f>SUMIFS(D8:D57,E8:E57,"A1N",N8:N57,"X")+SUMIFS(D8:D57,E8:E57,"A1F",N8:N57,"X")+SUMIFS(D8:D57,E8:E57,"A2E",N8:N57,"X")</f>
        <v>0</v>
      </c>
      <c r="T33" s="121">
        <v>90</v>
      </c>
      <c r="U33" s="185">
        <f t="shared" si="3"/>
        <v>90</v>
      </c>
      <c r="V33" s="4"/>
      <c r="W33" s="4"/>
      <c r="X33" s="51"/>
      <c r="Y33" s="51"/>
      <c r="Z33" s="5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4.75" customHeight="1" x14ac:dyDescent="0.25">
      <c r="B34" s="16"/>
      <c r="C34" s="40"/>
      <c r="D34" s="40"/>
      <c r="E34" s="21"/>
      <c r="F34" s="22"/>
      <c r="G34" s="21"/>
      <c r="H34" s="40"/>
      <c r="I34" s="40"/>
      <c r="J34" s="40"/>
      <c r="K34" s="233"/>
      <c r="L34" s="233"/>
      <c r="M34" s="40"/>
      <c r="N34" s="40"/>
      <c r="O34" s="26"/>
      <c r="Q34" s="106" t="s">
        <v>73</v>
      </c>
      <c r="R34" s="122"/>
      <c r="S34" s="123"/>
      <c r="T34" s="123"/>
      <c r="U34" s="18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6.25" customHeight="1" x14ac:dyDescent="0.25">
      <c r="B35" s="16"/>
      <c r="C35" s="40"/>
      <c r="D35" s="40"/>
      <c r="E35" s="21"/>
      <c r="F35" s="22"/>
      <c r="G35" s="21"/>
      <c r="H35" s="40"/>
      <c r="I35" s="40"/>
      <c r="J35" s="40"/>
      <c r="K35" s="233"/>
      <c r="L35" s="233"/>
      <c r="M35" s="40"/>
      <c r="N35" s="40"/>
      <c r="O35" s="26"/>
      <c r="P35" s="5"/>
      <c r="Q35" s="108" t="s">
        <v>42</v>
      </c>
      <c r="R35" s="107"/>
      <c r="S35" s="124">
        <f>SUMIFS(D8:D57,O8:O57,"Biologi",E8:E57,"A1N",N8:N57,"X")+SUMIFS(D8:D57,O8:O57,"Biologi",E8:E57,"A1F",N8:N57,"x")+SUMIFS(D8:D57,O8:O57,"Biologi",E8:E57,"A2E",N8:N57,"X")</f>
        <v>0</v>
      </c>
      <c r="T35" s="124">
        <v>60</v>
      </c>
      <c r="U35" s="185">
        <f t="shared" ref="U35:U40" si="4">IF((T35-S35)&lt;0,0,SUM(T35-S35))</f>
        <v>60</v>
      </c>
      <c r="V35" s="4"/>
      <c r="W35" s="4"/>
      <c r="X35" s="313" t="s">
        <v>134</v>
      </c>
      <c r="Y35" s="314"/>
      <c r="Z35" s="31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1.75" customHeight="1" x14ac:dyDescent="0.25">
      <c r="B36" s="16"/>
      <c r="C36" s="40"/>
      <c r="D36" s="40"/>
      <c r="E36" s="21"/>
      <c r="F36" s="22"/>
      <c r="G36" s="21"/>
      <c r="H36" s="40"/>
      <c r="I36" s="40"/>
      <c r="J36" s="40"/>
      <c r="K36" s="233"/>
      <c r="L36" s="233"/>
      <c r="M36" s="40"/>
      <c r="N36" s="40"/>
      <c r="O36" s="26"/>
      <c r="P36" s="5"/>
      <c r="Q36" s="108" t="s">
        <v>4</v>
      </c>
      <c r="R36" s="107"/>
      <c r="S36" s="124">
        <f>SUMIFS(D8:D57,O8:O57,"Skogsbruksvetenskap",E8:E57,"A1N",N8:N57,"X")+SUMIFS(D8:D57,O8:O57,"Skogsbruksvetenskap",E8:E57,"A1F",N8:N57,"X")+SUMIFS(D8:D57,O8:O57,"Skogsbruksvetenskap",E8:E57,"A2E",N8:N57,"x")</f>
        <v>0</v>
      </c>
      <c r="T36" s="124">
        <v>60</v>
      </c>
      <c r="U36" s="185">
        <f t="shared" si="4"/>
        <v>60</v>
      </c>
      <c r="V36" s="4"/>
      <c r="W36" s="4"/>
      <c r="X36" s="316"/>
      <c r="Y36" s="317"/>
      <c r="Z36" s="31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thickBot="1" x14ac:dyDescent="0.3">
      <c r="B37" s="45"/>
      <c r="C37" s="47"/>
      <c r="D37" s="47"/>
      <c r="E37" s="115"/>
      <c r="F37" s="116"/>
      <c r="G37" s="115"/>
      <c r="H37" s="47"/>
      <c r="I37" s="47"/>
      <c r="J37" s="47"/>
      <c r="K37" s="234"/>
      <c r="L37" s="234"/>
      <c r="M37" s="47"/>
      <c r="N37" s="47"/>
      <c r="O37" s="132"/>
      <c r="P37" s="5"/>
      <c r="Q37" s="108" t="s">
        <v>2</v>
      </c>
      <c r="R37" s="107"/>
      <c r="S37" s="124">
        <f>SUMIFS(D8:D57,O8:O57,"Företagsekonomi",E8:E57,"A1N",N8:N57,"X")+SUMIFS(D8:D57,O8:O57,"Företagsekonomi",E8:E57,"A1F",N8:N57,"X")+SUMIFS(D8:D57,O8:O57,"Företagsekonomi",E8:E57,"A2E",N8:N57,"X")</f>
        <v>0</v>
      </c>
      <c r="T37" s="124">
        <v>60</v>
      </c>
      <c r="U37" s="185">
        <f t="shared" si="4"/>
        <v>60</v>
      </c>
      <c r="V37" s="4"/>
      <c r="W37" s="4"/>
      <c r="X37" s="316"/>
      <c r="Y37" s="317"/>
      <c r="Z37" s="31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x14ac:dyDescent="0.25">
      <c r="B38" s="323" t="s">
        <v>75</v>
      </c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5"/>
      <c r="P38" s="5"/>
      <c r="Q38" s="108" t="s">
        <v>34</v>
      </c>
      <c r="R38" s="107"/>
      <c r="S38" s="124">
        <f>SUMIFS(D8:D57,O8:O57,"Bioekonomimanagement",E8:E57,"A1N",N8:N57,"X")+SUMIFS(D8:D57,O8:O57,"Bioekonomimanagement",E8:E57,"A1F",N8:N57,"X")+SUMIFS(D8:D57,O8:O57,"Bioekonomimanagement",E8:E57,"A2E",N8:N57,"X")</f>
        <v>0</v>
      </c>
      <c r="T38" s="124">
        <v>60</v>
      </c>
      <c r="U38" s="185">
        <f t="shared" si="4"/>
        <v>60</v>
      </c>
      <c r="V38" s="4"/>
      <c r="W38" s="4"/>
      <c r="X38" s="316"/>
      <c r="Y38" s="317"/>
      <c r="Z38" s="318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7.75" customHeight="1" thickBot="1" x14ac:dyDescent="0.3">
      <c r="B39" s="326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8"/>
      <c r="P39" s="5"/>
      <c r="Q39" s="125" t="s">
        <v>13</v>
      </c>
      <c r="R39" s="126"/>
      <c r="S39" s="127">
        <f>SUMIFS(D8:D57,E8:E57,"A2E",N8:N57,"X")</f>
        <v>0</v>
      </c>
      <c r="T39" s="127">
        <v>30</v>
      </c>
      <c r="U39" s="189">
        <f t="shared" si="4"/>
        <v>30</v>
      </c>
      <c r="V39" s="4"/>
      <c r="W39" s="4"/>
      <c r="X39" s="316"/>
      <c r="Y39" s="317"/>
      <c r="Z39" s="318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8" ht="25.5" customHeight="1" thickTop="1" thickBot="1" x14ac:dyDescent="0.35">
      <c r="B40" s="117"/>
      <c r="C40" s="32"/>
      <c r="D40" s="32"/>
      <c r="E40" s="32"/>
      <c r="F40" s="297" t="s">
        <v>36</v>
      </c>
      <c r="G40" s="299" t="s">
        <v>37</v>
      </c>
      <c r="H40" s="309" t="s">
        <v>53</v>
      </c>
      <c r="I40" s="335"/>
      <c r="J40" s="336"/>
      <c r="K40" s="385" t="s">
        <v>135</v>
      </c>
      <c r="L40" s="385" t="s">
        <v>135</v>
      </c>
      <c r="M40" s="301" t="s">
        <v>52</v>
      </c>
      <c r="N40" s="338" t="s">
        <v>93</v>
      </c>
      <c r="O40" s="282" t="s">
        <v>16</v>
      </c>
      <c r="P40" s="5"/>
      <c r="Q40" s="109" t="s">
        <v>67</v>
      </c>
      <c r="R40" s="110"/>
      <c r="S40" s="111">
        <f>SUMIFS(D7:D57,N7:N57,"X")</f>
        <v>0</v>
      </c>
      <c r="T40" s="111">
        <v>300</v>
      </c>
      <c r="U40" s="112">
        <f t="shared" si="4"/>
        <v>300</v>
      </c>
      <c r="V40" s="4"/>
      <c r="W40" s="4"/>
      <c r="X40" s="316"/>
      <c r="Y40" s="317"/>
      <c r="Z40" s="31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31.5" customHeight="1" x14ac:dyDescent="0.25">
      <c r="B41" s="33" t="s">
        <v>44</v>
      </c>
      <c r="C41" s="9" t="s">
        <v>39</v>
      </c>
      <c r="D41" s="34" t="s">
        <v>3</v>
      </c>
      <c r="E41" s="9" t="s">
        <v>15</v>
      </c>
      <c r="F41" s="333"/>
      <c r="G41" s="334"/>
      <c r="H41" s="35" t="s">
        <v>50</v>
      </c>
      <c r="I41" s="36" t="s">
        <v>6</v>
      </c>
      <c r="J41" s="35" t="s">
        <v>96</v>
      </c>
      <c r="K41" s="386"/>
      <c r="L41" s="386"/>
      <c r="M41" s="310"/>
      <c r="N41" s="310"/>
      <c r="O41" s="337"/>
      <c r="P41" s="5"/>
      <c r="Q41" s="284" t="s">
        <v>104</v>
      </c>
      <c r="R41" s="285"/>
      <c r="S41" s="285"/>
      <c r="T41" s="285"/>
      <c r="U41" s="286"/>
      <c r="V41" s="4"/>
      <c r="W41" s="4"/>
      <c r="X41" s="319"/>
      <c r="Y41" s="320"/>
      <c r="Z41" s="321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25">
      <c r="B42" s="28"/>
      <c r="C42" s="37"/>
      <c r="D42" s="38"/>
      <c r="E42" s="39"/>
      <c r="F42" s="40"/>
      <c r="G42" s="40"/>
      <c r="H42" s="41"/>
      <c r="I42" s="41"/>
      <c r="J42" s="41"/>
      <c r="K42" s="387"/>
      <c r="L42" s="387"/>
      <c r="M42" s="41"/>
      <c r="N42" s="42"/>
      <c r="O42" s="43"/>
      <c r="Q42" s="287"/>
      <c r="R42" s="288"/>
      <c r="S42" s="288"/>
      <c r="T42" s="288"/>
      <c r="U42" s="289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25">
      <c r="B43" s="16"/>
      <c r="C43" s="37"/>
      <c r="D43" s="38"/>
      <c r="E43" s="39"/>
      <c r="F43" s="40"/>
      <c r="G43" s="40"/>
      <c r="H43" s="41"/>
      <c r="I43" s="41"/>
      <c r="J43" s="41"/>
      <c r="K43" s="387"/>
      <c r="L43" s="387"/>
      <c r="M43" s="41"/>
      <c r="N43" s="42"/>
      <c r="O43" s="43"/>
      <c r="Q43" s="275" t="s">
        <v>105</v>
      </c>
      <c r="R43" s="276"/>
      <c r="S43" s="276"/>
      <c r="T43" s="279" t="s">
        <v>106</v>
      </c>
      <c r="U43" s="280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25">
      <c r="B44" s="16"/>
      <c r="C44" s="37"/>
      <c r="D44" s="38"/>
      <c r="E44" s="39"/>
      <c r="F44" s="40"/>
      <c r="G44" s="40"/>
      <c r="H44" s="41"/>
      <c r="I44" s="41"/>
      <c r="J44" s="41"/>
      <c r="K44" s="387"/>
      <c r="L44" s="387"/>
      <c r="M44" s="41"/>
      <c r="N44" s="42"/>
      <c r="O44" s="43"/>
      <c r="Q44" s="277"/>
      <c r="R44" s="278"/>
      <c r="S44" s="278"/>
      <c r="T44" s="205" t="s">
        <v>26</v>
      </c>
      <c r="U44" s="206" t="s">
        <v>4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25">
      <c r="B45" s="16"/>
      <c r="C45" s="37"/>
      <c r="D45" s="38"/>
      <c r="E45" s="39"/>
      <c r="F45" s="40"/>
      <c r="G45" s="40"/>
      <c r="H45" s="41"/>
      <c r="I45" s="41"/>
      <c r="J45" s="41"/>
      <c r="K45" s="387"/>
      <c r="L45" s="387"/>
      <c r="M45" s="41"/>
      <c r="N45" s="42"/>
      <c r="O45" s="43"/>
      <c r="Q45" s="256" t="s">
        <v>116</v>
      </c>
      <c r="R45" s="257"/>
      <c r="S45" s="257"/>
      <c r="T45" s="253" t="str">
        <f>IF(AND(U14=0,U11=0,S26&gt;14.9,S19&gt;59.9),"JA!","Nej")</f>
        <v>Nej</v>
      </c>
      <c r="U45" s="260" t="str">
        <f>IF(AND(V8=0,S26&gt;14.9),"JA!","Nej")</f>
        <v>Nej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25">
      <c r="B46" s="16"/>
      <c r="C46" s="37"/>
      <c r="D46" s="38"/>
      <c r="E46" s="39"/>
      <c r="F46" s="40"/>
      <c r="G46" s="40"/>
      <c r="H46" s="41"/>
      <c r="I46" s="41"/>
      <c r="J46" s="41"/>
      <c r="K46" s="387"/>
      <c r="L46" s="387"/>
      <c r="M46" s="41"/>
      <c r="N46" s="42"/>
      <c r="O46" s="43"/>
      <c r="Q46" s="258"/>
      <c r="R46" s="259"/>
      <c r="S46" s="259"/>
      <c r="T46" s="253"/>
      <c r="U46" s="261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25">
      <c r="B47" s="16"/>
      <c r="C47" s="37"/>
      <c r="D47" s="38"/>
      <c r="E47" s="39"/>
      <c r="F47" s="40"/>
      <c r="G47" s="40"/>
      <c r="H47" s="41"/>
      <c r="I47" s="41"/>
      <c r="J47" s="41"/>
      <c r="K47" s="387"/>
      <c r="L47" s="387"/>
      <c r="M47" s="41"/>
      <c r="N47" s="42"/>
      <c r="O47" s="43"/>
      <c r="Q47" s="251" t="s">
        <v>107</v>
      </c>
      <c r="R47" s="252"/>
      <c r="S47" s="252"/>
      <c r="T47" s="253" t="str">
        <f>IF(AND(U14=0,U11=0,S19&gt;59.9,S26&gt;14.9),"JA!","Nej")</f>
        <v>Nej</v>
      </c>
      <c r="U47" s="262" t="str">
        <f>IF(AND(V8=0,S26&gt;14.9),"JA!","Nej")</f>
        <v>Nej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25">
      <c r="B48" s="27"/>
      <c r="C48" s="133"/>
      <c r="D48" s="134"/>
      <c r="E48" s="134"/>
      <c r="F48" s="40"/>
      <c r="G48" s="40"/>
      <c r="H48" s="136"/>
      <c r="I48" s="136"/>
      <c r="J48" s="136"/>
      <c r="K48" s="388"/>
      <c r="L48" s="388"/>
      <c r="M48" s="136"/>
      <c r="N48" s="137"/>
      <c r="O48" s="43"/>
      <c r="Q48" s="251"/>
      <c r="R48" s="252"/>
      <c r="S48" s="252"/>
      <c r="T48" s="253"/>
      <c r="U48" s="26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25">
      <c r="B49" s="16"/>
      <c r="C49" s="40"/>
      <c r="D49" s="39"/>
      <c r="E49" s="39"/>
      <c r="F49" s="40"/>
      <c r="G49" s="40"/>
      <c r="H49" s="41"/>
      <c r="I49" s="41"/>
      <c r="J49" s="41"/>
      <c r="K49" s="387"/>
      <c r="L49" s="387"/>
      <c r="M49" s="41"/>
      <c r="N49" s="41"/>
      <c r="O49" s="43"/>
      <c r="Q49" s="251" t="s">
        <v>108</v>
      </c>
      <c r="R49" s="252"/>
      <c r="S49" s="252"/>
      <c r="T49" s="253" t="str">
        <f>IF(AND(U14=0,U11=0,S19&gt;59.9),"JA!","Nej")</f>
        <v>Nej</v>
      </c>
      <c r="U49" s="266" t="str">
        <f>IF(V8=0,"JA!","Nej")</f>
        <v>Nej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25">
      <c r="B50" s="27"/>
      <c r="C50" s="135"/>
      <c r="D50" s="135"/>
      <c r="E50" s="39"/>
      <c r="F50" s="40"/>
      <c r="G50" s="40"/>
      <c r="H50" s="135"/>
      <c r="I50" s="135"/>
      <c r="J50" s="135"/>
      <c r="K50" s="389"/>
      <c r="L50" s="389"/>
      <c r="M50" s="135"/>
      <c r="N50" s="136"/>
      <c r="O50" s="43"/>
      <c r="Q50" s="251"/>
      <c r="R50" s="252"/>
      <c r="S50" s="252"/>
      <c r="T50" s="253"/>
      <c r="U50" s="267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25">
      <c r="B51" s="16"/>
      <c r="C51" s="30"/>
      <c r="D51" s="21"/>
      <c r="E51" s="39"/>
      <c r="F51" s="40"/>
      <c r="G51" s="40"/>
      <c r="H51" s="29"/>
      <c r="I51" s="29"/>
      <c r="J51" s="29"/>
      <c r="K51" s="390"/>
      <c r="L51" s="390"/>
      <c r="M51" s="29"/>
      <c r="N51" s="21"/>
      <c r="O51" s="43"/>
      <c r="Q51" s="256" t="s">
        <v>118</v>
      </c>
      <c r="R51" s="257"/>
      <c r="S51" s="268"/>
      <c r="T51" s="354" t="str">
        <f>IF(AND(V15=0,S28&gt;89.9),"JA!","Nej")</f>
        <v>Nej</v>
      </c>
      <c r="U51" s="294" t="str">
        <f>IF(AND(V8=0,S28&gt;89.9),"JA!","Nej")</f>
        <v>Nej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25">
      <c r="B52" s="16"/>
      <c r="C52" s="30"/>
      <c r="D52" s="21"/>
      <c r="E52" s="39"/>
      <c r="F52" s="40"/>
      <c r="G52" s="40"/>
      <c r="H52" s="29"/>
      <c r="I52" s="29"/>
      <c r="J52" s="29"/>
      <c r="K52" s="390"/>
      <c r="L52" s="390"/>
      <c r="M52" s="29"/>
      <c r="N52" s="21"/>
      <c r="O52" s="43"/>
      <c r="Q52" s="258"/>
      <c r="R52" s="259"/>
      <c r="S52" s="269"/>
      <c r="T52" s="355"/>
      <c r="U52" s="29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25">
      <c r="B53" s="16"/>
      <c r="C53" s="30"/>
      <c r="D53" s="21"/>
      <c r="E53" s="39"/>
      <c r="F53" s="40"/>
      <c r="G53" s="40"/>
      <c r="H53" s="29"/>
      <c r="I53" s="29"/>
      <c r="J53" s="29"/>
      <c r="K53" s="390"/>
      <c r="L53" s="390"/>
      <c r="M53" s="29"/>
      <c r="N53" s="21"/>
      <c r="O53" s="43"/>
      <c r="Q53" s="251" t="s">
        <v>109</v>
      </c>
      <c r="R53" s="252"/>
      <c r="S53" s="252"/>
      <c r="T53" s="263" t="str">
        <f>IF(AND(V15=0,S27&gt;29.9,S28&gt;14.9,S19&gt;59.9),"JA!","Nej")</f>
        <v>Nej</v>
      </c>
      <c r="U53" s="265" t="str">
        <f>IF(AND(V8=0,S27&gt;29.9,S28&gt;14.9),"JA!","Nej")</f>
        <v>Nej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25">
      <c r="B54" s="16"/>
      <c r="C54" s="40"/>
      <c r="D54" s="40"/>
      <c r="E54" s="39"/>
      <c r="F54" s="40"/>
      <c r="G54" s="40"/>
      <c r="H54" s="40"/>
      <c r="I54" s="40"/>
      <c r="J54" s="40"/>
      <c r="K54" s="390"/>
      <c r="L54" s="390"/>
      <c r="M54" s="40"/>
      <c r="N54" s="41"/>
      <c r="O54" s="43"/>
      <c r="Q54" s="251"/>
      <c r="R54" s="252"/>
      <c r="S54" s="252"/>
      <c r="T54" s="264"/>
      <c r="U54" s="26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25">
      <c r="B55" s="16"/>
      <c r="C55" s="40"/>
      <c r="D55" s="40"/>
      <c r="E55" s="39"/>
      <c r="F55" s="40"/>
      <c r="G55" s="40"/>
      <c r="H55" s="40"/>
      <c r="I55" s="40"/>
      <c r="J55" s="40"/>
      <c r="K55" s="390"/>
      <c r="L55" s="390"/>
      <c r="M55" s="40"/>
      <c r="N55" s="41"/>
      <c r="O55" s="43"/>
      <c r="Q55" s="251" t="s">
        <v>110</v>
      </c>
      <c r="R55" s="252"/>
      <c r="S55" s="252"/>
      <c r="T55" s="253" t="str">
        <f>IF(AND(U14=0,U11=0,S19&gt;59.9,N16="x",SUM(SUMIFS(K8:K37,N8:N37,"X"))+SUM(SUMIFS(L8:L37,N8:N37,"X"))&gt;14.9),"JA!","Nej")</f>
        <v>Nej</v>
      </c>
      <c r="U55" s="254" t="str">
        <f>IF(AND(V8=0,SUM(SUMIFS(K8:K44,N8:N44,"x"))+SUM(SUMIFS(L8:L44,N8:N44,"x"))&gt;14.9,N16="X"),"JA!","Nej")</f>
        <v>Nej</v>
      </c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x14ac:dyDescent="0.25">
      <c r="B56" s="16"/>
      <c r="C56" s="40"/>
      <c r="D56" s="40"/>
      <c r="E56" s="39"/>
      <c r="F56" s="40"/>
      <c r="G56" s="40"/>
      <c r="H56" s="40"/>
      <c r="I56" s="40"/>
      <c r="J56" s="40"/>
      <c r="K56" s="390"/>
      <c r="L56" s="390"/>
      <c r="M56" s="40"/>
      <c r="N56" s="41"/>
      <c r="O56" s="43"/>
      <c r="Q56" s="251"/>
      <c r="R56" s="252"/>
      <c r="S56" s="252"/>
      <c r="T56" s="253"/>
      <c r="U56" s="255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.75" customHeight="1" thickBot="1" x14ac:dyDescent="0.3">
      <c r="B57" s="45"/>
      <c r="C57" s="47"/>
      <c r="D57" s="47"/>
      <c r="E57" s="39"/>
      <c r="F57" s="40"/>
      <c r="G57" s="40"/>
      <c r="H57" s="47"/>
      <c r="I57" s="47"/>
      <c r="J57" s="47"/>
      <c r="K57" s="391"/>
      <c r="L57" s="391"/>
      <c r="M57" s="47"/>
      <c r="N57" s="48"/>
      <c r="O57" s="49"/>
      <c r="Q57" s="4"/>
      <c r="R57" s="4"/>
      <c r="S57" s="4"/>
      <c r="T57" s="4"/>
      <c r="U57" s="4"/>
      <c r="V57" s="4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48" ht="21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5"/>
      <c r="L58" s="235"/>
      <c r="M58" s="23"/>
      <c r="N58" s="23"/>
      <c r="O58" s="23"/>
      <c r="Q58" s="4"/>
      <c r="R58" s="4"/>
      <c r="S58" s="4"/>
      <c r="T58" s="4"/>
      <c r="U58" s="4"/>
      <c r="V58" s="322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5"/>
      <c r="L59" s="235"/>
      <c r="M59" s="23"/>
      <c r="N59" s="23"/>
      <c r="O59" s="23"/>
      <c r="Q59" s="4"/>
      <c r="R59" s="4"/>
      <c r="S59" s="4"/>
      <c r="T59" s="4"/>
      <c r="U59" s="4"/>
      <c r="V59" s="322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5"/>
      <c r="L60" s="235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5"/>
      <c r="L61" s="235"/>
      <c r="M61" s="23"/>
      <c r="N61" s="23"/>
      <c r="O61" s="23"/>
      <c r="Q61" s="4"/>
      <c r="R61" s="4"/>
      <c r="S61" s="4"/>
      <c r="T61" s="4"/>
      <c r="U61" s="4"/>
      <c r="V61" s="4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25">
      <c r="C62" s="4"/>
      <c r="D62" s="4"/>
      <c r="E62" s="4"/>
      <c r="F62" s="4"/>
      <c r="G62" s="4"/>
      <c r="H62" s="4"/>
      <c r="I62" s="4"/>
      <c r="J62" s="4"/>
      <c r="K62" s="236"/>
      <c r="L62" s="236"/>
      <c r="M62" s="4"/>
      <c r="N62" s="4"/>
      <c r="O62" s="4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25">
      <c r="C63" s="4"/>
      <c r="D63" s="4"/>
      <c r="E63" s="4"/>
      <c r="F63" s="4"/>
      <c r="G63" s="4"/>
      <c r="H63" s="4"/>
      <c r="I63" s="4"/>
      <c r="J63" s="4"/>
      <c r="K63" s="236"/>
      <c r="L63" s="236"/>
      <c r="M63" s="4"/>
      <c r="N63" s="4"/>
      <c r="O63" s="4"/>
      <c r="P63" s="51"/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21" customHeight="1" x14ac:dyDescent="0.25">
      <c r="C64" s="4"/>
      <c r="D64" s="4"/>
      <c r="E64" s="4"/>
      <c r="F64" s="4"/>
      <c r="G64" s="4"/>
      <c r="H64" s="4"/>
      <c r="I64" s="4"/>
      <c r="J64" s="4"/>
      <c r="K64" s="236"/>
      <c r="L64" s="236"/>
      <c r="M64" s="4"/>
      <c r="N64" s="4"/>
      <c r="O64" s="4"/>
      <c r="P64" s="51" t="s">
        <v>20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25">
      <c r="C65" s="4"/>
      <c r="D65" s="4"/>
      <c r="E65" s="4"/>
      <c r="F65" s="4"/>
      <c r="G65" s="4"/>
      <c r="H65" s="4"/>
      <c r="I65" s="4"/>
      <c r="J65" s="4"/>
      <c r="K65" s="236"/>
      <c r="L65" s="236"/>
      <c r="M65" s="4"/>
      <c r="N65" s="4"/>
      <c r="O65" s="4"/>
      <c r="P65" s="51" t="s">
        <v>21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25">
      <c r="C66" s="4"/>
      <c r="D66" s="4"/>
      <c r="E66" s="4"/>
      <c r="F66" s="4"/>
      <c r="G66" s="4"/>
      <c r="H66" s="4"/>
      <c r="I66" s="4"/>
      <c r="J66" s="4"/>
      <c r="K66" s="236"/>
      <c r="L66" s="236"/>
      <c r="M66" s="4"/>
      <c r="N66" s="4"/>
      <c r="O66" s="4"/>
      <c r="P66" s="51" t="s">
        <v>17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25">
      <c r="C67" s="4"/>
      <c r="D67" s="4"/>
      <c r="E67" s="4"/>
      <c r="F67" s="4"/>
      <c r="G67" s="4"/>
      <c r="H67" s="4"/>
      <c r="I67" s="4"/>
      <c r="J67" s="4"/>
      <c r="K67" s="236"/>
      <c r="L67" s="236"/>
      <c r="M67" s="4"/>
      <c r="N67" s="4"/>
      <c r="O67" s="4"/>
      <c r="P67" s="51" t="s">
        <v>18</v>
      </c>
      <c r="Q67" s="4"/>
      <c r="R67" s="4"/>
      <c r="S67" s="4"/>
      <c r="T67" s="4"/>
      <c r="U67" s="4"/>
      <c r="V67" s="44"/>
      <c r="W67" s="23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25">
      <c r="C68" s="4"/>
      <c r="D68" s="4"/>
      <c r="E68" s="4"/>
      <c r="F68" s="4"/>
      <c r="G68" s="4"/>
      <c r="H68" s="4"/>
      <c r="I68" s="4"/>
      <c r="J68" s="4"/>
      <c r="K68" s="236"/>
      <c r="L68" s="236"/>
      <c r="M68" s="4"/>
      <c r="N68" s="4"/>
      <c r="O68" s="4"/>
      <c r="P68" s="51" t="s">
        <v>19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25">
      <c r="C69" s="4"/>
      <c r="D69" s="4"/>
      <c r="E69" s="4"/>
      <c r="F69" s="4"/>
      <c r="G69" s="4"/>
      <c r="H69" s="4"/>
      <c r="I69" s="4"/>
      <c r="J69" s="4"/>
      <c r="K69" s="236"/>
      <c r="L69" s="236"/>
      <c r="M69" s="4"/>
      <c r="N69" s="4"/>
      <c r="O69" s="4"/>
      <c r="P69" s="51" t="s">
        <v>22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25">
      <c r="C70" s="4"/>
      <c r="D70" s="4"/>
      <c r="E70" s="4"/>
      <c r="F70" s="4"/>
      <c r="G70" s="4"/>
      <c r="H70" s="4"/>
      <c r="I70" s="4"/>
      <c r="J70" s="4"/>
      <c r="K70" s="236"/>
      <c r="L70" s="236"/>
      <c r="M70" s="4"/>
      <c r="N70" s="4"/>
      <c r="O70" s="4"/>
      <c r="P70" s="51" t="s">
        <v>43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25">
      <c r="C71" s="4"/>
      <c r="D71" s="4"/>
      <c r="E71" s="4"/>
      <c r="F71" s="4"/>
      <c r="G71" s="4"/>
      <c r="H71" s="4"/>
      <c r="I71" s="4"/>
      <c r="J71" s="4"/>
      <c r="K71" s="236"/>
      <c r="L71" s="236"/>
      <c r="M71" s="4"/>
      <c r="N71" s="4"/>
      <c r="O71" s="4"/>
      <c r="P71" s="5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25">
      <c r="C72" s="4"/>
      <c r="D72" s="4"/>
      <c r="E72" s="4"/>
      <c r="F72" s="4"/>
      <c r="G72" s="4"/>
      <c r="H72" s="4"/>
      <c r="I72" s="4"/>
      <c r="J72" s="4"/>
      <c r="K72" s="236"/>
      <c r="L72" s="236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25">
      <c r="C73" s="4"/>
      <c r="D73" s="4"/>
      <c r="E73" s="4"/>
      <c r="F73" s="4"/>
      <c r="G73" s="4"/>
      <c r="H73" s="4"/>
      <c r="I73" s="4"/>
      <c r="J73" s="4"/>
      <c r="K73" s="236"/>
      <c r="L73" s="236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17.25" customHeight="1" x14ac:dyDescent="0.25">
      <c r="C74" s="4"/>
      <c r="D74" s="4"/>
      <c r="E74" s="4"/>
      <c r="F74" s="4"/>
      <c r="G74" s="4"/>
      <c r="H74" s="4"/>
      <c r="I74" s="4"/>
      <c r="J74" s="4"/>
      <c r="K74" s="236"/>
      <c r="L74" s="236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21.75" customHeight="1" x14ac:dyDescent="0.25">
      <c r="C75" s="4"/>
      <c r="D75" s="4"/>
      <c r="E75" s="4"/>
      <c r="F75" s="4"/>
      <c r="G75" s="4"/>
      <c r="H75" s="4"/>
      <c r="I75" s="4"/>
      <c r="J75" s="4"/>
      <c r="K75" s="236"/>
      <c r="L75" s="236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25">
      <c r="C76" s="4"/>
      <c r="D76" s="4"/>
      <c r="E76" s="4"/>
      <c r="F76" s="4"/>
      <c r="G76" s="4"/>
      <c r="H76" s="4"/>
      <c r="I76" s="4"/>
      <c r="J76" s="4"/>
      <c r="K76" s="236"/>
      <c r="L76" s="236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25">
      <c r="C77" s="4"/>
      <c r="D77" s="4"/>
      <c r="E77" s="4"/>
      <c r="F77" s="4"/>
      <c r="G77" s="4"/>
      <c r="H77" s="4"/>
      <c r="I77" s="4"/>
      <c r="J77" s="4"/>
      <c r="K77" s="236"/>
      <c r="L77" s="236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25">
      <c r="C78" s="4"/>
      <c r="D78" s="4"/>
      <c r="E78" s="4"/>
      <c r="F78" s="4"/>
      <c r="G78" s="4"/>
      <c r="H78" s="4"/>
      <c r="I78" s="4"/>
      <c r="J78" s="4"/>
      <c r="K78" s="236"/>
      <c r="L78" s="236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25">
      <c r="C79" s="4"/>
      <c r="D79" s="4"/>
      <c r="E79" s="4"/>
      <c r="F79" s="4"/>
      <c r="G79" s="4"/>
      <c r="H79" s="4"/>
      <c r="I79" s="4"/>
      <c r="J79" s="4"/>
      <c r="K79" s="236"/>
      <c r="L79" s="236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25">
      <c r="C80" s="4"/>
      <c r="D80" s="4"/>
      <c r="E80" s="4"/>
      <c r="F80" s="4"/>
      <c r="G80" s="4"/>
      <c r="H80" s="4"/>
      <c r="I80" s="4"/>
      <c r="J80" s="4"/>
      <c r="K80" s="236"/>
      <c r="L80" s="236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25">
      <c r="C81" s="4"/>
      <c r="D81" s="4"/>
      <c r="E81" s="4"/>
      <c r="F81" s="4"/>
      <c r="G81" s="4"/>
      <c r="H81" s="4"/>
      <c r="I81" s="4"/>
      <c r="J81" s="4"/>
      <c r="K81" s="236"/>
      <c r="L81" s="236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25">
      <c r="C82" s="4"/>
      <c r="D82" s="4"/>
      <c r="E82" s="4"/>
      <c r="F82" s="4"/>
      <c r="G82" s="4"/>
      <c r="H82" s="4"/>
      <c r="I82" s="4"/>
      <c r="J82" s="4"/>
      <c r="K82" s="236"/>
      <c r="L82" s="236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25">
      <c r="C83" s="4"/>
      <c r="D83" s="4"/>
      <c r="E83" s="4"/>
      <c r="F83" s="4"/>
      <c r="G83" s="4"/>
      <c r="H83" s="4"/>
      <c r="I83" s="4"/>
      <c r="J83" s="4"/>
      <c r="K83" s="236"/>
      <c r="L83" s="236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25">
      <c r="C84" s="4"/>
      <c r="D84" s="4"/>
      <c r="E84" s="4"/>
      <c r="F84" s="4"/>
      <c r="G84" s="4"/>
      <c r="H84" s="4"/>
      <c r="I84" s="4"/>
      <c r="J84" s="4"/>
      <c r="K84" s="236"/>
      <c r="L84" s="236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25">
      <c r="C85" s="4"/>
      <c r="D85" s="4"/>
      <c r="E85" s="4"/>
      <c r="F85" s="4"/>
      <c r="G85" s="4"/>
      <c r="H85" s="4"/>
      <c r="I85" s="4"/>
      <c r="J85" s="4"/>
      <c r="K85" s="236"/>
      <c r="L85" s="236"/>
      <c r="M85" s="4"/>
      <c r="N85" s="4"/>
      <c r="O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25">
      <c r="C86" s="4"/>
      <c r="D86" s="4"/>
      <c r="E86" s="4"/>
      <c r="F86" s="4"/>
      <c r="G86" s="4"/>
      <c r="H86" s="4"/>
      <c r="I86" s="4"/>
      <c r="J86" s="4"/>
      <c r="K86" s="236"/>
      <c r="L86" s="236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3:47" ht="17.25" customHeight="1" x14ac:dyDescent="0.25">
      <c r="C87" s="4"/>
      <c r="D87" s="4"/>
      <c r="E87" s="4"/>
      <c r="F87" s="4"/>
      <c r="G87" s="4"/>
      <c r="H87" s="4"/>
      <c r="I87" s="4"/>
      <c r="J87" s="4"/>
      <c r="K87" s="236"/>
      <c r="L87" s="236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25">
      <c r="C88" s="4"/>
      <c r="D88" s="4"/>
      <c r="E88" s="4"/>
      <c r="F88" s="4"/>
      <c r="G88" s="4"/>
      <c r="H88" s="4"/>
      <c r="I88" s="4"/>
      <c r="J88" s="4"/>
      <c r="K88" s="236"/>
      <c r="L88" s="236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25">
      <c r="C89" s="4"/>
      <c r="D89" s="4"/>
      <c r="E89" s="4"/>
      <c r="F89" s="4"/>
      <c r="G89" s="4"/>
      <c r="H89" s="4"/>
      <c r="I89" s="4"/>
      <c r="J89" s="4"/>
      <c r="K89" s="236"/>
      <c r="L89" s="236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25">
      <c r="C90" s="4"/>
      <c r="D90" s="4"/>
      <c r="E90" s="4"/>
      <c r="F90" s="4"/>
      <c r="G90" s="4"/>
      <c r="H90" s="4"/>
      <c r="I90" s="4"/>
      <c r="J90" s="4"/>
      <c r="K90" s="236"/>
      <c r="L90" s="236"/>
      <c r="M90" s="4"/>
      <c r="N90" s="4"/>
      <c r="O90" s="4"/>
      <c r="Q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25">
      <c r="C91" s="4"/>
      <c r="D91" s="4"/>
      <c r="E91" s="4"/>
      <c r="F91" s="4"/>
      <c r="G91" s="4"/>
      <c r="H91" s="4"/>
      <c r="I91" s="4"/>
      <c r="J91" s="4"/>
      <c r="K91" s="236"/>
      <c r="L91" s="236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25">
      <c r="C92" s="4"/>
      <c r="D92" s="4"/>
      <c r="E92" s="4"/>
      <c r="F92" s="4"/>
      <c r="G92" s="4"/>
      <c r="H92" s="4"/>
      <c r="I92" s="4"/>
      <c r="J92" s="4"/>
      <c r="K92" s="236"/>
      <c r="L92" s="236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25">
      <c r="C93" s="4"/>
      <c r="D93" s="4"/>
      <c r="E93" s="4"/>
      <c r="F93" s="4"/>
      <c r="G93" s="4"/>
      <c r="H93" s="4"/>
      <c r="I93" s="4"/>
      <c r="J93" s="4"/>
      <c r="K93" s="236"/>
      <c r="L93" s="236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25">
      <c r="C94" s="4"/>
      <c r="D94" s="4"/>
      <c r="E94" s="4"/>
      <c r="F94" s="4"/>
      <c r="G94" s="4"/>
      <c r="H94" s="4"/>
      <c r="I94" s="4"/>
      <c r="J94" s="4"/>
      <c r="K94" s="236"/>
      <c r="L94" s="236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25">
      <c r="C95" s="4"/>
      <c r="D95" s="4"/>
      <c r="E95" s="4"/>
      <c r="F95" s="4"/>
      <c r="G95" s="4"/>
      <c r="H95" s="4"/>
      <c r="I95" s="4"/>
      <c r="J95" s="4"/>
      <c r="K95" s="236"/>
      <c r="L95" s="236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25">
      <c r="C96" s="4"/>
      <c r="D96" s="4"/>
      <c r="E96" s="4"/>
      <c r="F96" s="4"/>
      <c r="G96" s="4"/>
      <c r="H96" s="4"/>
      <c r="I96" s="4"/>
      <c r="J96" s="4"/>
      <c r="K96" s="236"/>
      <c r="L96" s="236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3:29" ht="17.25" customHeight="1" x14ac:dyDescent="0.25">
      <c r="C97" s="4"/>
      <c r="D97" s="4"/>
      <c r="E97" s="4"/>
      <c r="F97" s="4"/>
      <c r="G97" s="4"/>
      <c r="H97" s="4"/>
      <c r="I97" s="4"/>
      <c r="J97" s="4"/>
      <c r="K97" s="236"/>
      <c r="L97" s="236"/>
      <c r="M97" s="4"/>
      <c r="N97" s="4"/>
      <c r="O97" s="4"/>
      <c r="Q97" s="4"/>
      <c r="V97" s="4"/>
      <c r="W97" s="4"/>
      <c r="X97" s="4"/>
      <c r="Y97" s="4"/>
      <c r="Z97" s="4"/>
      <c r="AA97" s="4"/>
      <c r="AB97" s="4"/>
      <c r="AC97" s="4"/>
    </row>
    <row r="98" spans="3:29" ht="17.25" customHeight="1" x14ac:dyDescent="0.25">
      <c r="C98" s="4"/>
      <c r="D98" s="4"/>
      <c r="E98" s="4"/>
      <c r="F98" s="4"/>
      <c r="G98" s="4"/>
      <c r="H98" s="4"/>
      <c r="I98" s="4"/>
      <c r="J98" s="4"/>
      <c r="K98" s="236"/>
      <c r="L98" s="236"/>
      <c r="M98" s="4"/>
      <c r="N98" s="4"/>
      <c r="O98" s="4"/>
      <c r="Q98" s="4"/>
    </row>
    <row r="99" spans="3:29" ht="17.25" customHeight="1" x14ac:dyDescent="0.25">
      <c r="C99" s="4"/>
      <c r="D99" s="4"/>
      <c r="E99" s="4"/>
      <c r="F99" s="4"/>
      <c r="G99" s="4"/>
      <c r="H99" s="4"/>
      <c r="I99" s="4"/>
      <c r="J99" s="4"/>
      <c r="K99" s="236"/>
      <c r="L99" s="236"/>
      <c r="M99" s="4"/>
      <c r="N99" s="4"/>
      <c r="O99" s="4"/>
      <c r="Q99" s="4"/>
    </row>
    <row r="100" spans="3:29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6"/>
      <c r="L100" s="236"/>
      <c r="M100" s="4"/>
      <c r="N100" s="4"/>
      <c r="O100" s="4"/>
      <c r="Q100" s="4"/>
    </row>
    <row r="101" spans="3:29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6"/>
      <c r="L101" s="236"/>
      <c r="M101" s="4"/>
      <c r="N101" s="4"/>
      <c r="O101" s="4"/>
    </row>
    <row r="102" spans="3:29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6"/>
      <c r="L102" s="236"/>
      <c r="M102" s="4"/>
      <c r="N102" s="4"/>
      <c r="O102" s="4"/>
    </row>
    <row r="103" spans="3:29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6"/>
      <c r="L103" s="236"/>
      <c r="M103" s="4"/>
      <c r="N103" s="4"/>
      <c r="O103" s="4"/>
    </row>
    <row r="104" spans="3:29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6"/>
      <c r="L104" s="236"/>
      <c r="M104" s="4"/>
      <c r="N104" s="4"/>
      <c r="O104" s="4"/>
    </row>
    <row r="105" spans="3:29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6"/>
      <c r="L105" s="236"/>
      <c r="M105" s="4"/>
      <c r="N105" s="4"/>
      <c r="O105" s="4"/>
    </row>
    <row r="106" spans="3:29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6"/>
      <c r="L106" s="236"/>
      <c r="M106" s="4"/>
      <c r="N106" s="4"/>
      <c r="O106" s="4"/>
    </row>
    <row r="107" spans="3:29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6"/>
      <c r="L107" s="236"/>
      <c r="M107" s="4"/>
      <c r="N107" s="4"/>
      <c r="O107" s="4"/>
    </row>
    <row r="108" spans="3:29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36"/>
      <c r="L108" s="236"/>
      <c r="M108" s="4"/>
      <c r="N108" s="4"/>
      <c r="O108" s="4"/>
    </row>
    <row r="109" spans="3:29" ht="17.25" customHeight="1" x14ac:dyDescent="0.25">
      <c r="C109" s="4"/>
      <c r="D109" s="4"/>
      <c r="E109" s="4"/>
      <c r="F109" s="4"/>
      <c r="G109" s="4"/>
      <c r="H109" s="4"/>
      <c r="I109" s="4"/>
      <c r="J109" s="4"/>
      <c r="K109" s="236"/>
      <c r="L109" s="236"/>
      <c r="M109" s="4"/>
      <c r="N109" s="4"/>
      <c r="O109" s="4"/>
    </row>
    <row r="110" spans="3:29" ht="17.25" customHeight="1" x14ac:dyDescent="0.25">
      <c r="C110" s="4"/>
      <c r="D110" s="4"/>
      <c r="E110" s="4"/>
      <c r="F110" s="4"/>
      <c r="G110" s="4"/>
      <c r="H110" s="4"/>
      <c r="I110" s="4"/>
      <c r="J110" s="4"/>
      <c r="K110" s="236"/>
      <c r="L110" s="236"/>
      <c r="M110" s="4"/>
      <c r="N110" s="4"/>
      <c r="O110" s="4"/>
    </row>
    <row r="111" spans="3:29" ht="17.25" customHeight="1" x14ac:dyDescent="0.25">
      <c r="C111" s="4"/>
      <c r="D111" s="4"/>
      <c r="E111" s="4"/>
      <c r="F111" s="4"/>
      <c r="G111" s="4"/>
      <c r="H111" s="4"/>
      <c r="I111" s="4"/>
      <c r="J111" s="4"/>
      <c r="K111" s="236"/>
      <c r="L111" s="236"/>
      <c r="M111" s="4"/>
      <c r="N111" s="4"/>
      <c r="O111" s="4"/>
    </row>
    <row r="112" spans="3:29" ht="17.25" customHeight="1" x14ac:dyDescent="0.25">
      <c r="C112" s="4"/>
      <c r="D112" s="4"/>
      <c r="E112" s="4"/>
      <c r="F112" s="4"/>
      <c r="G112" s="4"/>
      <c r="H112" s="4"/>
      <c r="I112" s="4"/>
      <c r="J112" s="4"/>
      <c r="K112" s="236"/>
      <c r="L112" s="236"/>
      <c r="M112" s="4"/>
      <c r="N112" s="4"/>
      <c r="O112" s="4"/>
    </row>
  </sheetData>
  <sheetProtection sheet="1" objects="1" scenarios="1"/>
  <mergeCells count="53">
    <mergeCell ref="B1:O1"/>
    <mergeCell ref="X35:Z41"/>
    <mergeCell ref="V58:V59"/>
    <mergeCell ref="B38:O39"/>
    <mergeCell ref="Q29:T29"/>
    <mergeCell ref="U29:U30"/>
    <mergeCell ref="F40:F41"/>
    <mergeCell ref="G40:G41"/>
    <mergeCell ref="H40:J40"/>
    <mergeCell ref="M40:M41"/>
    <mergeCell ref="O40:O41"/>
    <mergeCell ref="N40:N41"/>
    <mergeCell ref="Z20:AA27"/>
    <mergeCell ref="B2:O4"/>
    <mergeCell ref="X3:Z12"/>
    <mergeCell ref="T51:T52"/>
    <mergeCell ref="U51:U52"/>
    <mergeCell ref="F5:F6"/>
    <mergeCell ref="G5:G6"/>
    <mergeCell ref="M5:M6"/>
    <mergeCell ref="N5:N6"/>
    <mergeCell ref="H5:J5"/>
    <mergeCell ref="Q16:U16"/>
    <mergeCell ref="K5:K6"/>
    <mergeCell ref="L5:L6"/>
    <mergeCell ref="K40:K41"/>
    <mergeCell ref="L40:L41"/>
    <mergeCell ref="Q2:U2"/>
    <mergeCell ref="Q3:T3"/>
    <mergeCell ref="Q43:S44"/>
    <mergeCell ref="T43:U43"/>
    <mergeCell ref="O5:O6"/>
    <mergeCell ref="U9:U10"/>
    <mergeCell ref="U3:U4"/>
    <mergeCell ref="Q41:U42"/>
    <mergeCell ref="Q17:T17"/>
    <mergeCell ref="U17:U18"/>
    <mergeCell ref="Q55:S56"/>
    <mergeCell ref="T55:T56"/>
    <mergeCell ref="U55:U56"/>
    <mergeCell ref="Q45:S46"/>
    <mergeCell ref="T45:T46"/>
    <mergeCell ref="U45:U46"/>
    <mergeCell ref="Q47:S48"/>
    <mergeCell ref="T47:T48"/>
    <mergeCell ref="U47:U48"/>
    <mergeCell ref="Q53:S54"/>
    <mergeCell ref="T53:T54"/>
    <mergeCell ref="U53:U54"/>
    <mergeCell ref="Q49:S50"/>
    <mergeCell ref="T49:T50"/>
    <mergeCell ref="U49:U50"/>
    <mergeCell ref="Q51:S52"/>
  </mergeCells>
  <conditionalFormatting sqref="T39">
    <cfRule type="cellIs" dxfId="14" priority="13" operator="lessThan">
      <formula>15</formula>
    </cfRule>
  </conditionalFormatting>
  <conditionalFormatting sqref="T31">
    <cfRule type="cellIs" dxfId="13" priority="16" operator="lessThan">
      <formula>30</formula>
    </cfRule>
  </conditionalFormatting>
  <conditionalFormatting sqref="T32">
    <cfRule type="cellIs" dxfId="12" priority="15" operator="lessThan">
      <formula>15</formula>
    </cfRule>
  </conditionalFormatting>
  <conditionalFormatting sqref="T33">
    <cfRule type="cellIs" dxfId="11" priority="14" operator="lessThan">
      <formula>30</formula>
    </cfRule>
  </conditionalFormatting>
  <conditionalFormatting sqref="T35">
    <cfRule type="cellIs" dxfId="10" priority="12" operator="lessThan">
      <formula>15</formula>
    </cfRule>
  </conditionalFormatting>
  <conditionalFormatting sqref="V60:V62 V67 U5:U8 U24:U28 U31:U33 V56:V57 U35:U40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1:U14">
    <cfRule type="cellIs" dxfId="7" priority="9" operator="greaterThan">
      <formula>0</formula>
    </cfRule>
  </conditionalFormatting>
  <conditionalFormatting sqref="U19:U23">
    <cfRule type="cellIs" dxfId="6" priority="8" operator="greaterThan">
      <formula>0</formula>
    </cfRule>
  </conditionalFormatting>
  <conditionalFormatting sqref="U31:U33 U39">
    <cfRule type="cellIs" dxfId="5" priority="7" operator="greaterThan">
      <formula>0</formula>
    </cfRule>
  </conditionalFormatting>
  <conditionalFormatting sqref="T45:U45 T49:U49 T47:U47 T53:U53 T55:U55">
    <cfRule type="containsText" dxfId="4" priority="2" operator="containsText" text="JA!">
      <formula>NOT(ISERROR(SEARCH("JA!",T45)))</formula>
    </cfRule>
  </conditionalFormatting>
  <dataValidations count="3">
    <dataValidation type="list" allowBlank="1" showInputMessage="1" showErrorMessage="1" sqref="O21 O13">
      <formula1>#REF!</formula1>
    </dataValidation>
    <dataValidation type="list" allowBlank="1" showInputMessage="1" showErrorMessage="1" sqref="O42:O57 O14:O20 O8:O12 O22:O26 O28:O37">
      <formula1>F8:G8</formula1>
    </dataValidation>
    <dataValidation type="list" allowBlank="1" showInputMessage="1" showErrorMessage="1" sqref="E28:E37 E42:E57 E8:E26">
      <formula1>$P$64:$P$70</formula1>
    </dataValidation>
  </dataValidations>
  <pageMargins left="0.7" right="0.7" top="0.75" bottom="0.75" header="0.3" footer="0.3"/>
  <pageSetup paperSize="9" orientation="portrait" r:id="rId1"/>
  <ignoredErrors>
    <ignoredError sqref="W1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F42:G57</xm:sqref>
        </x14:dataValidation>
        <x14:dataValidation type="list" allowBlank="1" showInputMessage="1" showErrorMessage="1">
          <x14:formula1>
            <xm:f>'JM-kraven'!$A$2:$A$16</xm:f>
          </x14:formula1>
          <xm:sqref>F8:G14 F28:G37 F15:F26 G16:G26</xm:sqref>
        </x14:dataValidation>
        <x14:dataValidation type="list" allowBlank="1" showInputMessage="1" showErrorMessage="1">
          <x14:formula1>
            <xm:f>'JM-kraven'!$F$2:$F$5</xm:f>
          </x14:formula1>
          <xm:sqref>D8:D12 D14:D20 D22:D26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P9" sqref="P9"/>
    </sheetView>
  </sheetViews>
  <sheetFormatPr defaultColWidth="9.140625" defaultRowHeight="17.25" customHeight="1" x14ac:dyDescent="0.25"/>
  <cols>
    <col min="1" max="1" width="1.42578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67" t="s">
        <v>97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39" t="s">
        <v>74</v>
      </c>
      <c r="C3" s="340"/>
      <c r="D3" s="340"/>
      <c r="E3" s="340"/>
      <c r="F3" s="340"/>
      <c r="G3" s="340"/>
      <c r="H3" s="340"/>
      <c r="I3" s="340"/>
      <c r="J3" s="340"/>
      <c r="K3" s="340"/>
      <c r="L3" s="341"/>
      <c r="N3" s="368" t="s">
        <v>58</v>
      </c>
      <c r="O3" s="369"/>
      <c r="P3" s="369"/>
      <c r="Q3" s="369"/>
      <c r="R3" s="370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77"/>
      <c r="C4" s="378"/>
      <c r="D4" s="378"/>
      <c r="E4" s="378"/>
      <c r="F4" s="378"/>
      <c r="G4" s="378"/>
      <c r="H4" s="378"/>
      <c r="I4" s="378"/>
      <c r="J4" s="378"/>
      <c r="K4" s="378"/>
      <c r="L4" s="379"/>
      <c r="N4" s="375" t="s">
        <v>55</v>
      </c>
      <c r="O4" s="376"/>
      <c r="P4" s="376"/>
      <c r="Q4" s="376"/>
      <c r="R4" s="283" t="s">
        <v>54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82" t="s">
        <v>44</v>
      </c>
      <c r="C5" s="365"/>
      <c r="D5" s="365"/>
      <c r="E5" s="365"/>
      <c r="F5" s="365"/>
      <c r="G5" s="366"/>
      <c r="H5" s="381" t="s">
        <v>51</v>
      </c>
      <c r="I5" s="381"/>
      <c r="J5" s="381"/>
      <c r="K5" s="380" t="s">
        <v>52</v>
      </c>
      <c r="L5" s="383" t="s">
        <v>16</v>
      </c>
      <c r="N5" s="65" t="s">
        <v>38</v>
      </c>
      <c r="O5" s="66"/>
      <c r="P5" s="67" t="s">
        <v>1</v>
      </c>
      <c r="Q5" s="67" t="s">
        <v>14</v>
      </c>
      <c r="R5" s="283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82"/>
      <c r="C6" s="150" t="s">
        <v>103</v>
      </c>
      <c r="D6" s="150" t="s">
        <v>3</v>
      </c>
      <c r="E6" s="150" t="s">
        <v>15</v>
      </c>
      <c r="F6" s="151" t="s">
        <v>36</v>
      </c>
      <c r="G6" s="152" t="s">
        <v>37</v>
      </c>
      <c r="H6" s="153" t="s">
        <v>50</v>
      </c>
      <c r="I6" s="154" t="s">
        <v>6</v>
      </c>
      <c r="J6" s="154" t="s">
        <v>96</v>
      </c>
      <c r="K6" s="381"/>
      <c r="L6" s="384"/>
      <c r="N6" s="164" t="s">
        <v>8</v>
      </c>
      <c r="O6" s="165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2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55"/>
      <c r="C7" s="156"/>
      <c r="D7" s="39"/>
      <c r="E7" s="39"/>
      <c r="F7" s="157"/>
      <c r="G7" s="39"/>
      <c r="H7" s="39"/>
      <c r="I7" s="39"/>
      <c r="J7" s="39"/>
      <c r="K7" s="39"/>
      <c r="L7" s="158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55"/>
      <c r="C8" s="156"/>
      <c r="D8" s="39"/>
      <c r="E8" s="39"/>
      <c r="F8" s="157"/>
      <c r="G8" s="39"/>
      <c r="H8" s="39"/>
      <c r="I8" s="39"/>
      <c r="J8" s="39"/>
      <c r="K8" s="39"/>
      <c r="L8" s="158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55"/>
      <c r="C9" s="156"/>
      <c r="D9" s="39"/>
      <c r="E9" s="39"/>
      <c r="F9" s="157"/>
      <c r="G9" s="39"/>
      <c r="H9" s="39"/>
      <c r="I9" s="39"/>
      <c r="J9" s="39"/>
      <c r="K9" s="39"/>
      <c r="L9" s="158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55"/>
      <c r="C10" s="156"/>
      <c r="D10" s="39"/>
      <c r="E10" s="39"/>
      <c r="F10" s="157"/>
      <c r="G10" s="39"/>
      <c r="H10" s="39"/>
      <c r="I10" s="39"/>
      <c r="J10" s="39"/>
      <c r="K10" s="39"/>
      <c r="L10" s="158"/>
      <c r="N10" s="72" t="s">
        <v>117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55"/>
      <c r="C11" s="156"/>
      <c r="D11" s="39"/>
      <c r="E11" s="39"/>
      <c r="F11" s="157"/>
      <c r="G11" s="39"/>
      <c r="H11" s="39"/>
      <c r="I11" s="39"/>
      <c r="J11" s="39"/>
      <c r="K11" s="39"/>
      <c r="L11" s="158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55"/>
      <c r="C12" s="156"/>
      <c r="D12" s="134"/>
      <c r="E12" s="134"/>
      <c r="F12" s="159"/>
      <c r="G12" s="134"/>
      <c r="H12" s="134"/>
      <c r="I12" s="134"/>
      <c r="J12" s="134"/>
      <c r="K12" s="134"/>
      <c r="L12" s="158"/>
      <c r="N12" s="166" t="s">
        <v>10</v>
      </c>
      <c r="O12" s="167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2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55"/>
      <c r="C13" s="40"/>
      <c r="D13" s="39"/>
      <c r="E13" s="39"/>
      <c r="F13" s="157"/>
      <c r="G13" s="39"/>
      <c r="H13" s="39"/>
      <c r="I13" s="39"/>
      <c r="J13" s="39"/>
      <c r="K13" s="39"/>
      <c r="L13" s="158"/>
      <c r="N13" s="168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55"/>
      <c r="C14" s="40"/>
      <c r="D14" s="39"/>
      <c r="E14" s="39"/>
      <c r="F14" s="157"/>
      <c r="G14" s="39"/>
      <c r="H14" s="39"/>
      <c r="I14" s="39"/>
      <c r="J14" s="39"/>
      <c r="K14" s="39"/>
      <c r="L14" s="158"/>
      <c r="N14" s="166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2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55"/>
      <c r="C15" s="40"/>
      <c r="D15" s="39"/>
      <c r="E15" s="39"/>
      <c r="F15" s="157"/>
      <c r="G15" s="39"/>
      <c r="H15" s="39"/>
      <c r="I15" s="39"/>
      <c r="J15" s="39"/>
      <c r="K15" s="39"/>
      <c r="L15" s="158"/>
      <c r="N15" s="169" t="s">
        <v>2</v>
      </c>
      <c r="O15" s="170"/>
      <c r="P15" s="171">
        <f>SUMIFS(D7:D48,L7:L48,"Företagsekonomi")</f>
        <v>0</v>
      </c>
      <c r="Q15" s="171">
        <v>15</v>
      </c>
      <c r="R15" s="196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55"/>
      <c r="C16" s="40"/>
      <c r="D16" s="39"/>
      <c r="E16" s="39"/>
      <c r="F16" s="157"/>
      <c r="G16" s="39"/>
      <c r="H16" s="39"/>
      <c r="I16" s="39"/>
      <c r="J16" s="39"/>
      <c r="K16" s="39"/>
      <c r="L16" s="158"/>
      <c r="N16" s="371" t="s">
        <v>56</v>
      </c>
      <c r="O16" s="372"/>
      <c r="P16" s="372"/>
      <c r="Q16" s="372"/>
      <c r="R16" s="373" t="s">
        <v>54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55"/>
      <c r="C17" s="40"/>
      <c r="D17" s="39"/>
      <c r="E17" s="39"/>
      <c r="F17" s="157"/>
      <c r="G17" s="39"/>
      <c r="H17" s="39"/>
      <c r="I17" s="39"/>
      <c r="J17" s="39"/>
      <c r="K17" s="39"/>
      <c r="L17" s="158"/>
      <c r="N17" s="172" t="s">
        <v>38</v>
      </c>
      <c r="O17" s="79"/>
      <c r="P17" s="79" t="s">
        <v>1</v>
      </c>
      <c r="Q17" s="79" t="s">
        <v>14</v>
      </c>
      <c r="R17" s="37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55"/>
      <c r="C18" s="40"/>
      <c r="D18" s="39"/>
      <c r="E18" s="39"/>
      <c r="F18" s="157"/>
      <c r="G18" s="39"/>
      <c r="H18" s="39"/>
      <c r="I18" s="39"/>
      <c r="J18" s="39"/>
      <c r="K18" s="39"/>
      <c r="L18" s="158"/>
      <c r="N18" s="173" t="s">
        <v>57</v>
      </c>
      <c r="O18" s="174"/>
      <c r="P18" s="194">
        <f>SUM(D7:D48)-(T6+T12+T14)-SUMIFS(D7:D48,L7:L48,"Annat ämne")</f>
        <v>0</v>
      </c>
      <c r="Q18" s="175">
        <v>105</v>
      </c>
      <c r="R18" s="197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55"/>
      <c r="C19" s="40"/>
      <c r="D19" s="39"/>
      <c r="E19" s="39"/>
      <c r="F19" s="157"/>
      <c r="G19" s="39"/>
      <c r="H19" s="39"/>
      <c r="I19" s="39"/>
      <c r="J19" s="39"/>
      <c r="K19" s="39"/>
      <c r="L19" s="158"/>
      <c r="N19" s="176" t="s">
        <v>35</v>
      </c>
      <c r="O19" s="80"/>
      <c r="P19" s="81">
        <f>SUMIFS(D7:D48,E7:E48,"G2E")</f>
        <v>0</v>
      </c>
      <c r="Q19" s="81">
        <v>15</v>
      </c>
      <c r="R19" s="71">
        <f t="shared" ref="R19:R26" si="2">IF((Q19-P19)&lt;0,0,SUM(Q19-P19))</f>
        <v>15</v>
      </c>
      <c r="V19" s="118"/>
      <c r="W19" s="11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55"/>
      <c r="C20" s="40"/>
      <c r="D20" s="39"/>
      <c r="E20" s="39"/>
      <c r="F20" s="157"/>
      <c r="G20" s="39"/>
      <c r="H20" s="39"/>
      <c r="I20" s="39"/>
      <c r="J20" s="39"/>
      <c r="K20" s="39"/>
      <c r="L20" s="158"/>
      <c r="N20" s="176" t="s">
        <v>61</v>
      </c>
      <c r="O20" s="80"/>
      <c r="P20" s="81">
        <f>SUMIFS(D7:D48,E7:E48,"A1N")+SUMIFS(D7:D48,E7:E48,"A1F")+SUMIFS(D7:D48,E7:E48,"A2E")</f>
        <v>0</v>
      </c>
      <c r="Q20" s="81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55"/>
      <c r="C21" s="40"/>
      <c r="D21" s="39"/>
      <c r="E21" s="39"/>
      <c r="F21" s="157"/>
      <c r="G21" s="39"/>
      <c r="H21" s="39"/>
      <c r="I21" s="39"/>
      <c r="J21" s="39"/>
      <c r="K21" s="39"/>
      <c r="L21" s="158"/>
      <c r="N21" s="173" t="s">
        <v>73</v>
      </c>
      <c r="O21" s="80"/>
      <c r="P21" s="81"/>
      <c r="Q21" s="81"/>
      <c r="R21" s="71"/>
      <c r="U21" s="356" t="s">
        <v>120</v>
      </c>
      <c r="V21" s="357"/>
      <c r="W21" s="358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55"/>
      <c r="C22" s="40"/>
      <c r="D22" s="39"/>
      <c r="E22" s="39"/>
      <c r="F22" s="157"/>
      <c r="G22" s="39"/>
      <c r="H22" s="39"/>
      <c r="I22" s="39"/>
      <c r="J22" s="39"/>
      <c r="K22" s="39"/>
      <c r="L22" s="158"/>
      <c r="N22" s="177" t="s">
        <v>42</v>
      </c>
      <c r="O22" s="80"/>
      <c r="P22" s="83">
        <f>SUMIFS(D7:D48,L7:L48,"Biologi",E7:E48,"A1N")+SUMIFS(D7:D48,L7:L48,"Biologi",E7:E48,"A1F")+SUMIFS(D7:D48,L7:L48,"Biologi",E7:E48,"A2E")</f>
        <v>0</v>
      </c>
      <c r="Q22" s="83">
        <v>60</v>
      </c>
      <c r="R22" s="71">
        <f t="shared" si="2"/>
        <v>60</v>
      </c>
      <c r="U22" s="359"/>
      <c r="V22" s="360"/>
      <c r="W22" s="361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55"/>
      <c r="C23" s="40"/>
      <c r="D23" s="39"/>
      <c r="E23" s="39"/>
      <c r="F23" s="157"/>
      <c r="G23" s="39"/>
      <c r="H23" s="39"/>
      <c r="I23" s="39"/>
      <c r="J23" s="39"/>
      <c r="K23" s="39"/>
      <c r="L23" s="158"/>
      <c r="N23" s="177" t="s">
        <v>4</v>
      </c>
      <c r="O23" s="80"/>
      <c r="P23" s="83">
        <f>SUMIFS(D7:D48,L7:L48,"Skogsbruksvetenskap",E7:E48,"A1N")+SUMIFS(D7:D48,L7:L48,"Skogsbruksvetenskap",E7:E48,"A1F")+SUMIFS(D7:D48,L7:L48,"Skogsbruksvetenskap",E7:E48,"A2E")</f>
        <v>0</v>
      </c>
      <c r="Q23" s="83">
        <v>60</v>
      </c>
      <c r="R23" s="71">
        <f t="shared" si="2"/>
        <v>60</v>
      </c>
      <c r="U23" s="359"/>
      <c r="V23" s="360"/>
      <c r="W23" s="361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55"/>
      <c r="C24" s="40"/>
      <c r="D24" s="39"/>
      <c r="E24" s="39"/>
      <c r="F24" s="157"/>
      <c r="G24" s="39"/>
      <c r="H24" s="156"/>
      <c r="I24" s="156"/>
      <c r="J24" s="156"/>
      <c r="K24" s="156"/>
      <c r="L24" s="158"/>
      <c r="N24" s="177" t="s">
        <v>2</v>
      </c>
      <c r="O24" s="80"/>
      <c r="P24" s="83">
        <f>SUMIFS(D7:D48,L7:L48,"Företagsekonomi",E7:E48,"A1N")+SUMIFS(D7:D48,L7:L48,"Företagsekonomi",E7:E48,"A1F")+SUMIFS(D7:D48,L7:L48,"Företagsekonomi",E7:E48,"A2E")</f>
        <v>0</v>
      </c>
      <c r="Q24" s="83">
        <v>60</v>
      </c>
      <c r="R24" s="71">
        <f t="shared" si="2"/>
        <v>60</v>
      </c>
      <c r="U24" s="359"/>
      <c r="V24" s="360"/>
      <c r="W24" s="361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55"/>
      <c r="C25" s="40"/>
      <c r="D25" s="39"/>
      <c r="E25" s="39"/>
      <c r="F25" s="157"/>
      <c r="G25" s="39"/>
      <c r="H25" s="156"/>
      <c r="I25" s="156"/>
      <c r="J25" s="156"/>
      <c r="K25" s="156"/>
      <c r="L25" s="158"/>
      <c r="N25" s="177" t="s">
        <v>34</v>
      </c>
      <c r="O25" s="80"/>
      <c r="P25" s="83">
        <f>SUMIFS(D7:D48,L7:L48,"Bioekonomimanagement",E7:E48,"A1N")+SUMIFS(D7:D48,L7:L48,"Bioekonomimanagement",E7:E48,"A1F")+SUMIFS(D7:D48,L7:L48,"Bioekonomimanagement",E7:E48,"A2E")</f>
        <v>0</v>
      </c>
      <c r="Q25" s="83">
        <v>60</v>
      </c>
      <c r="R25" s="71">
        <f t="shared" si="2"/>
        <v>60</v>
      </c>
      <c r="U25" s="359"/>
      <c r="V25" s="360"/>
      <c r="W25" s="361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55"/>
      <c r="C26" s="40"/>
      <c r="D26" s="39"/>
      <c r="E26" s="39"/>
      <c r="F26" s="157"/>
      <c r="G26" s="39"/>
      <c r="H26" s="40"/>
      <c r="I26" s="40"/>
      <c r="J26" s="40"/>
      <c r="K26" s="40"/>
      <c r="L26" s="158"/>
      <c r="N26" s="178" t="s">
        <v>70</v>
      </c>
      <c r="O26" s="179"/>
      <c r="P26" s="86">
        <f>SUMIFS(D7:D48,E7:E48,"A2E")</f>
        <v>0</v>
      </c>
      <c r="Q26" s="180">
        <v>30</v>
      </c>
      <c r="R26" s="196">
        <f t="shared" si="2"/>
        <v>30</v>
      </c>
      <c r="U26" s="359"/>
      <c r="V26" s="360"/>
      <c r="W26" s="361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55"/>
      <c r="C27" s="40"/>
      <c r="D27" s="39"/>
      <c r="E27" s="39"/>
      <c r="F27" s="157"/>
      <c r="G27" s="39"/>
      <c r="H27" s="40"/>
      <c r="I27" s="160"/>
      <c r="J27" s="160"/>
      <c r="K27" s="135"/>
      <c r="L27" s="158"/>
      <c r="N27" s="181" t="s">
        <v>67</v>
      </c>
      <c r="O27" s="182"/>
      <c r="P27" s="183">
        <f>SUM(D7:D48)</f>
        <v>0</v>
      </c>
      <c r="Q27" s="183">
        <v>300</v>
      </c>
      <c r="R27" s="184">
        <f>IF((Q27-P27)&lt;0,0,SUM(Q27-P27))</f>
        <v>300</v>
      </c>
      <c r="U27" s="362"/>
      <c r="V27" s="363"/>
      <c r="W27" s="36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55"/>
      <c r="C28" s="40"/>
      <c r="D28" s="39"/>
      <c r="E28" s="39"/>
      <c r="F28" s="157"/>
      <c r="G28" s="39"/>
      <c r="H28" s="40"/>
      <c r="I28" s="160"/>
      <c r="J28" s="160"/>
      <c r="K28" s="135"/>
      <c r="L28" s="158"/>
      <c r="N28" s="161"/>
      <c r="O28" s="161"/>
      <c r="P28" s="25"/>
      <c r="Q28" s="162"/>
      <c r="R28" s="44"/>
      <c r="V28" s="118"/>
      <c r="W28" s="118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55"/>
      <c r="C29" s="40"/>
      <c r="D29" s="39"/>
      <c r="E29" s="39"/>
      <c r="F29" s="157"/>
      <c r="G29" s="39"/>
      <c r="H29" s="40"/>
      <c r="I29" s="160"/>
      <c r="J29" s="160"/>
      <c r="K29" s="135"/>
      <c r="L29" s="158"/>
      <c r="N29" s="161"/>
      <c r="O29" s="161"/>
      <c r="P29" s="25"/>
      <c r="Q29" s="162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55"/>
      <c r="C30" s="40"/>
      <c r="D30" s="39"/>
      <c r="E30" s="39"/>
      <c r="F30" s="157"/>
      <c r="G30" s="39"/>
      <c r="H30" s="40"/>
      <c r="I30" s="160"/>
      <c r="J30" s="160"/>
      <c r="K30" s="135"/>
      <c r="L30" s="158"/>
      <c r="N30" s="161"/>
      <c r="O30" s="161"/>
      <c r="P30" s="25"/>
      <c r="Q30" s="162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55"/>
      <c r="C31" s="40"/>
      <c r="D31" s="39"/>
      <c r="E31" s="39"/>
      <c r="F31" s="157"/>
      <c r="G31" s="39"/>
      <c r="H31" s="40"/>
      <c r="I31" s="160"/>
      <c r="J31" s="160"/>
      <c r="K31" s="135"/>
      <c r="L31" s="158"/>
      <c r="N31" s="161"/>
      <c r="O31" s="161"/>
      <c r="P31" s="25"/>
      <c r="Q31" s="162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55"/>
      <c r="C32" s="40"/>
      <c r="D32" s="39"/>
      <c r="E32" s="39"/>
      <c r="F32" s="157"/>
      <c r="G32" s="39"/>
      <c r="H32" s="40"/>
      <c r="I32" s="40"/>
      <c r="J32" s="40"/>
      <c r="K32" s="40"/>
      <c r="L32" s="158"/>
      <c r="N32" s="161"/>
      <c r="O32" s="161"/>
      <c r="P32" s="25"/>
      <c r="Q32" s="162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02"/>
      <c r="C33" s="200"/>
      <c r="D33" s="39"/>
      <c r="E33" s="39"/>
      <c r="F33" s="157"/>
      <c r="G33" s="39"/>
      <c r="H33" s="200"/>
      <c r="I33" s="200"/>
      <c r="J33" s="200"/>
      <c r="K33" s="200"/>
      <c r="L33" s="158"/>
      <c r="N33" s="161"/>
      <c r="O33" s="161"/>
      <c r="P33" s="25"/>
      <c r="Q33" s="162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02"/>
      <c r="C34" s="200"/>
      <c r="D34" s="39"/>
      <c r="E34" s="39"/>
      <c r="F34" s="157"/>
      <c r="G34" s="39"/>
      <c r="H34" s="200"/>
      <c r="I34" s="200"/>
      <c r="J34" s="200"/>
      <c r="K34" s="200"/>
      <c r="L34" s="158"/>
      <c r="N34" s="161"/>
      <c r="O34" s="161"/>
      <c r="P34" s="25"/>
      <c r="Q34" s="162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03"/>
      <c r="C35" s="199"/>
      <c r="D35" s="39"/>
      <c r="E35" s="39"/>
      <c r="F35" s="157"/>
      <c r="G35" s="39"/>
      <c r="H35" s="201"/>
      <c r="I35" s="201"/>
      <c r="J35" s="201"/>
      <c r="K35" s="198"/>
      <c r="L35" s="158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25">
      <c r="B36" s="203"/>
      <c r="C36" s="199"/>
      <c r="D36" s="39"/>
      <c r="E36" s="39"/>
      <c r="F36" s="157"/>
      <c r="G36" s="39"/>
      <c r="H36" s="199"/>
      <c r="I36" s="198"/>
      <c r="J36" s="199"/>
      <c r="K36" s="198"/>
      <c r="L36" s="158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55"/>
      <c r="C37" s="40"/>
      <c r="D37" s="39"/>
      <c r="E37" s="39"/>
      <c r="F37" s="157"/>
      <c r="G37" s="39"/>
      <c r="H37" s="41"/>
      <c r="I37" s="41"/>
      <c r="J37" s="41"/>
      <c r="K37" s="41"/>
      <c r="L37" s="158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55"/>
      <c r="C38" s="40"/>
      <c r="D38" s="39"/>
      <c r="E38" s="39"/>
      <c r="F38" s="157"/>
      <c r="G38" s="39"/>
      <c r="H38" s="41"/>
      <c r="I38" s="41"/>
      <c r="J38" s="41"/>
      <c r="K38" s="41"/>
      <c r="L38" s="158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55"/>
      <c r="C39" s="40"/>
      <c r="D39" s="39"/>
      <c r="E39" s="39"/>
      <c r="F39" s="157"/>
      <c r="G39" s="39"/>
      <c r="H39" s="41"/>
      <c r="I39" s="41"/>
      <c r="J39" s="41"/>
      <c r="K39" s="41"/>
      <c r="L39" s="158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55"/>
      <c r="C40" s="40"/>
      <c r="D40" s="39"/>
      <c r="E40" s="39"/>
      <c r="F40" s="157"/>
      <c r="G40" s="39"/>
      <c r="H40" s="41"/>
      <c r="I40" s="41"/>
      <c r="J40" s="41"/>
      <c r="K40" s="41"/>
      <c r="L40" s="158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55"/>
      <c r="C41" s="40"/>
      <c r="D41" s="39"/>
      <c r="E41" s="39"/>
      <c r="F41" s="157"/>
      <c r="G41" s="39"/>
      <c r="H41" s="41"/>
      <c r="I41" s="41"/>
      <c r="J41" s="41"/>
      <c r="K41" s="41"/>
      <c r="L41" s="158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55"/>
      <c r="C42" s="40"/>
      <c r="D42" s="39"/>
      <c r="E42" s="39"/>
      <c r="F42" s="157"/>
      <c r="G42" s="39"/>
      <c r="H42" s="41"/>
      <c r="I42" s="41"/>
      <c r="J42" s="41"/>
      <c r="K42" s="41"/>
      <c r="L42" s="158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55"/>
      <c r="C43" s="40"/>
      <c r="D43" s="39"/>
      <c r="E43" s="39"/>
      <c r="F43" s="157"/>
      <c r="G43" s="39"/>
      <c r="H43" s="41"/>
      <c r="I43" s="41"/>
      <c r="J43" s="41"/>
      <c r="K43" s="41"/>
      <c r="L43" s="158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55"/>
      <c r="C44" s="40"/>
      <c r="D44" s="39"/>
      <c r="E44" s="39"/>
      <c r="F44" s="157"/>
      <c r="G44" s="39"/>
      <c r="H44" s="41"/>
      <c r="I44" s="41"/>
      <c r="J44" s="41"/>
      <c r="K44" s="41"/>
      <c r="L44" s="15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55"/>
      <c r="C45" s="40"/>
      <c r="D45" s="39"/>
      <c r="E45" s="39"/>
      <c r="F45" s="157"/>
      <c r="G45" s="39"/>
      <c r="H45" s="41"/>
      <c r="I45" s="41"/>
      <c r="J45" s="41"/>
      <c r="K45" s="41"/>
      <c r="L45" s="15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55"/>
      <c r="C46" s="40"/>
      <c r="D46" s="39"/>
      <c r="E46" s="39"/>
      <c r="F46" s="157"/>
      <c r="G46" s="39"/>
      <c r="H46" s="41"/>
      <c r="I46" s="41"/>
      <c r="J46" s="41"/>
      <c r="K46" s="41"/>
      <c r="L46" s="15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155"/>
      <c r="C47" s="40"/>
      <c r="D47" s="39"/>
      <c r="E47" s="39"/>
      <c r="F47" s="157"/>
      <c r="G47" s="39"/>
      <c r="H47" s="41"/>
      <c r="I47" s="41"/>
      <c r="J47" s="41"/>
      <c r="K47" s="41"/>
      <c r="L47" s="15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163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21 R26 R28:R34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5</v>
      </c>
      <c r="F3">
        <v>15</v>
      </c>
    </row>
    <row r="4" spans="1:6" x14ac:dyDescent="0.25">
      <c r="A4" t="s">
        <v>2</v>
      </c>
      <c r="C4" t="s">
        <v>5</v>
      </c>
      <c r="F4">
        <v>30</v>
      </c>
    </row>
    <row r="5" spans="1:6" x14ac:dyDescent="0.25">
      <c r="A5" s="1" t="s">
        <v>23</v>
      </c>
      <c r="C5" t="s">
        <v>4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4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5</v>
      </c>
    </row>
    <row r="20" spans="1:1" x14ac:dyDescent="0.25">
      <c r="A20" s="1" t="s">
        <v>4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2024-11-11T14:56:22Z</dcterms:modified>
</cp:coreProperties>
</file>