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-ume.slu.se\home$\jeoh0004\My Documents\Simuleringsverktyg\"/>
    </mc:Choice>
  </mc:AlternateContent>
  <bookViews>
    <workbookView xWindow="0" yWindow="0" windowWidth="23040" windowHeight="8160" activeTab="1"/>
  </bookViews>
  <sheets>
    <sheet name="Info" sheetId="10" r:id="rId1"/>
    <sheet name="Forest &amp; Landscape" sheetId="8" r:id="rId2"/>
    <sheet name="Individuell JM-examen" sheetId="3" r:id="rId3"/>
    <sheet name="JM-kraven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53" i="8" l="1"/>
  <c r="R49" i="8"/>
  <c r="R47" i="8"/>
  <c r="R45" i="8"/>
  <c r="Q6" i="8" l="1"/>
  <c r="P26" i="3"/>
  <c r="P6" i="3" l="1"/>
  <c r="Q19" i="8"/>
  <c r="Q40" i="8" l="1"/>
  <c r="Q39" i="8"/>
  <c r="Q38" i="8"/>
  <c r="Q37" i="8"/>
  <c r="Q36" i="8"/>
  <c r="Q35" i="8"/>
  <c r="Q33" i="8"/>
  <c r="Q32" i="8"/>
  <c r="Q27" i="8"/>
  <c r="Q26" i="8"/>
  <c r="Q25" i="8"/>
  <c r="Q24" i="8"/>
  <c r="Q23" i="8"/>
  <c r="Q22" i="8"/>
  <c r="Q21" i="8"/>
  <c r="Q20" i="8"/>
  <c r="Q13" i="8"/>
  <c r="Q12" i="8"/>
  <c r="Q11" i="8"/>
  <c r="Q7" i="8"/>
  <c r="Q5" i="8"/>
  <c r="Q14" i="8" l="1"/>
  <c r="U14" i="8" s="1"/>
  <c r="S40" i="8" l="1"/>
  <c r="S39" i="8"/>
  <c r="S38" i="8"/>
  <c r="S37" i="8"/>
  <c r="S36" i="8"/>
  <c r="S35" i="8"/>
  <c r="S33" i="8"/>
  <c r="S32" i="8"/>
  <c r="Q28" i="8"/>
  <c r="S28" i="8" s="1"/>
  <c r="S25" i="8"/>
  <c r="U25" i="8" s="1"/>
  <c r="S24" i="8"/>
  <c r="S23" i="8"/>
  <c r="S22" i="8"/>
  <c r="S21" i="8"/>
  <c r="S20" i="8"/>
  <c r="S14" i="8"/>
  <c r="S13" i="8"/>
  <c r="S12" i="8"/>
  <c r="S11" i="8"/>
  <c r="Q8" i="8"/>
  <c r="S8" i="8" s="1"/>
  <c r="S7" i="8"/>
  <c r="S6" i="8"/>
  <c r="S5" i="8"/>
  <c r="P27" i="3"/>
  <c r="R27" i="3" s="1"/>
  <c r="S26" i="8" l="1"/>
  <c r="T8" i="8"/>
  <c r="S53" i="8" s="1"/>
  <c r="T14" i="8"/>
  <c r="S19" i="8"/>
  <c r="S27" i="8"/>
  <c r="U27" i="8" s="1"/>
  <c r="P20" i="3"/>
  <c r="R20" i="3" s="1"/>
  <c r="P19" i="3"/>
  <c r="P11" i="3"/>
  <c r="P9" i="3"/>
  <c r="P8" i="3"/>
  <c r="P7" i="3"/>
  <c r="R51" i="8" l="1"/>
  <c r="R55" i="8"/>
  <c r="S51" i="8"/>
  <c r="S45" i="8"/>
  <c r="S47" i="8"/>
  <c r="S49" i="8"/>
  <c r="U19" i="8"/>
  <c r="Q31" i="8" s="1"/>
  <c r="S31" i="8" s="1"/>
  <c r="R6" i="3"/>
  <c r="T6" i="3" s="1"/>
  <c r="R26" i="3" l="1"/>
  <c r="P25" i="3"/>
  <c r="R25" i="3" s="1"/>
  <c r="P24" i="3"/>
  <c r="R24" i="3" s="1"/>
  <c r="P23" i="3"/>
  <c r="R23" i="3" s="1"/>
  <c r="P22" i="3"/>
  <c r="R19" i="3"/>
  <c r="P14" i="3"/>
  <c r="P15" i="3"/>
  <c r="P13" i="3"/>
  <c r="R13" i="3" s="1"/>
  <c r="P12" i="3"/>
  <c r="R12" i="3" s="1"/>
  <c r="T12" i="3" s="1"/>
  <c r="R11" i="3"/>
  <c r="P10" i="3"/>
  <c r="R10" i="3" l="1"/>
  <c r="R14" i="3"/>
  <c r="T14" i="3" s="1"/>
  <c r="P18" i="3" s="1"/>
  <c r="R18" i="3" s="1"/>
  <c r="R15" i="3"/>
  <c r="R22" i="3"/>
  <c r="R9" i="3"/>
  <c r="R8" i="3"/>
  <c r="R7" i="3"/>
</calcChain>
</file>

<file path=xl/sharedStrings.xml><?xml version="1.0" encoding="utf-8"?>
<sst xmlns="http://schemas.openxmlformats.org/spreadsheetml/2006/main" count="265" uniqueCount="135">
  <si>
    <t xml:space="preserve">Kurs </t>
  </si>
  <si>
    <t>Antal poäng</t>
  </si>
  <si>
    <t>Företagsekonomi</t>
  </si>
  <si>
    <t>Hp</t>
  </si>
  <si>
    <t>Skogsbruksvetenskap</t>
  </si>
  <si>
    <t>Biologi</t>
  </si>
  <si>
    <t>Naturliga processer</t>
  </si>
  <si>
    <t>Arbetsprocesser</t>
  </si>
  <si>
    <t>Skogsbruksvetenskap varav</t>
  </si>
  <si>
    <t>Mål, planering och policy</t>
  </si>
  <si>
    <t>Biologi varav</t>
  </si>
  <si>
    <t>Ekologi</t>
  </si>
  <si>
    <t>Ekonomi varav</t>
  </si>
  <si>
    <t>Masterarbete</t>
  </si>
  <si>
    <t xml:space="preserve">Krav </t>
  </si>
  <si>
    <t>Nivå</t>
  </si>
  <si>
    <t>Valt huvudområde i examen</t>
  </si>
  <si>
    <t>G2F</t>
  </si>
  <si>
    <t>G2E</t>
  </si>
  <si>
    <t>A1N</t>
  </si>
  <si>
    <t>G1N</t>
  </si>
  <si>
    <t>G1F</t>
  </si>
  <si>
    <t>A1F</t>
  </si>
  <si>
    <t>Hållbar utveckling</t>
  </si>
  <si>
    <t>Juridik</t>
  </si>
  <si>
    <t>Kemi</t>
  </si>
  <si>
    <t>Landskapsarkitektur</t>
  </si>
  <si>
    <t>Lantbruksvetenskap</t>
  </si>
  <si>
    <t>Markvetenskap</t>
  </si>
  <si>
    <t>Matematisk statistik</t>
  </si>
  <si>
    <t>Nationalekonomi</t>
  </si>
  <si>
    <t>Statistik</t>
  </si>
  <si>
    <t>Teknologi</t>
  </si>
  <si>
    <t>Annat ämne</t>
  </si>
  <si>
    <t>Bioekonomimanagement</t>
  </si>
  <si>
    <t>Kandidatarbete</t>
  </si>
  <si>
    <t>Huvudområde 1</t>
  </si>
  <si>
    <t>Huvudområde 2</t>
  </si>
  <si>
    <t>Ämne</t>
  </si>
  <si>
    <t>Kurs Avancerad nivå</t>
  </si>
  <si>
    <t>Skogsbruksvetenskap avancerad nivå</t>
  </si>
  <si>
    <t>Fördjupningsnviå G2F</t>
  </si>
  <si>
    <t xml:space="preserve">Biologi  </t>
  </si>
  <si>
    <t>A2E</t>
  </si>
  <si>
    <t>Kurskod</t>
  </si>
  <si>
    <t>Forest and landscape ecology</t>
  </si>
  <si>
    <t>Forest management methods</t>
  </si>
  <si>
    <t>GIS in forest and landscape</t>
  </si>
  <si>
    <t>Urban trees and forest health</t>
  </si>
  <si>
    <t>Forest and landscape planning</t>
  </si>
  <si>
    <t>Mål, planering &amp; policy</t>
  </si>
  <si>
    <t>Poäng per delområden i Skogsbruksvetenskap</t>
  </si>
  <si>
    <t>Poäng ekologi i Biologi</t>
  </si>
  <si>
    <t>Poäng per delområde i Skogsbruksvetenskap</t>
  </si>
  <si>
    <t>Antal poäng som saknas</t>
  </si>
  <si>
    <t>Baskrav för jägmästarexamen (195 hp)</t>
  </si>
  <si>
    <t>Inriktnings-/specialiseringskrav (105 hp)</t>
  </si>
  <si>
    <t>Inriktning/Specialiseringskrav varav</t>
  </si>
  <si>
    <t xml:space="preserve">Bara i ett av de fyra ämnena behöver kravet om 30 hp vara uppfyllt.  </t>
  </si>
  <si>
    <t>FYLLS I AUTOMATISKT!</t>
  </si>
  <si>
    <t>Huvudområde Skogsbruksvetenskap</t>
  </si>
  <si>
    <t>Kandidatarbete Skogsbruksvetenskap</t>
  </si>
  <si>
    <t>Kurser på avancerad nivå varav</t>
  </si>
  <si>
    <t>Avklarad (sätt X)</t>
  </si>
  <si>
    <t>Skogsbruksvetenskap grundnivå varav</t>
  </si>
  <si>
    <t>nivå G2F</t>
  </si>
  <si>
    <t>SV0016</t>
  </si>
  <si>
    <t>Forestry in Central Sweden</t>
  </si>
  <si>
    <t>Totalt antal avklarade poäng</t>
  </si>
  <si>
    <t>Totalt antal poäng varav</t>
  </si>
  <si>
    <t>Total antal poäng varav</t>
  </si>
  <si>
    <t>Masterarbete för jägmästarexamen</t>
  </si>
  <si>
    <t xml:space="preserve">År 1 </t>
  </si>
  <si>
    <t xml:space="preserve">År 2 </t>
  </si>
  <si>
    <t>Poäng i valt huvudområde på avancerad nivå</t>
  </si>
  <si>
    <r>
      <t xml:space="preserve"> Kurser som ska ingå i Jägmästarexamen - </t>
    </r>
    <r>
      <rPr>
        <b/>
        <i/>
        <sz val="24"/>
        <color rgb="FFFF0000"/>
        <rFont val="Calibri"/>
        <family val="2"/>
        <scheme val="minor"/>
      </rPr>
      <t>ATT FYLLA I SJÄLV</t>
    </r>
  </si>
  <si>
    <t xml:space="preserve">Kurser  på avancerad nivå </t>
  </si>
  <si>
    <r>
      <t xml:space="preserve">Masterprogram/Kurser på avancerad nivå - </t>
    </r>
    <r>
      <rPr>
        <b/>
        <sz val="24"/>
        <color rgb="FFFF0000"/>
        <rFont val="Calibri"/>
        <family val="2"/>
        <scheme val="minor"/>
      </rPr>
      <t>Att fylla i själv</t>
    </r>
  </si>
  <si>
    <r>
      <t>Eventuellt övriga kurser (</t>
    </r>
    <r>
      <rPr>
        <b/>
        <sz val="11"/>
        <color rgb="FFFF0000"/>
        <rFont val="Calibri"/>
        <family val="2"/>
        <scheme val="minor"/>
      </rPr>
      <t>att fylla i själv</t>
    </r>
    <r>
      <rPr>
        <b/>
        <sz val="11"/>
        <color theme="1"/>
        <rFont val="Calibri"/>
        <family val="2"/>
        <scheme val="minor"/>
      </rPr>
      <t>)</t>
    </r>
  </si>
  <si>
    <t>Forest &amp; Landscape</t>
  </si>
  <si>
    <t>BI1385</t>
  </si>
  <si>
    <t>BI1386</t>
  </si>
  <si>
    <t>SV0001</t>
  </si>
  <si>
    <t>Vegetation design</t>
  </si>
  <si>
    <t>LK0423</t>
  </si>
  <si>
    <t>LK0424</t>
  </si>
  <si>
    <t xml:space="preserve">Forest and landscape governance </t>
  </si>
  <si>
    <t>SV0014</t>
  </si>
  <si>
    <t>SV0015</t>
  </si>
  <si>
    <t>BI1418</t>
  </si>
  <si>
    <t>Forest and landscape biodiversity conservation and ecosystem services</t>
  </si>
  <si>
    <t>Environmental discourses and environmental communication</t>
  </si>
  <si>
    <t xml:space="preserve">År 3 </t>
  </si>
  <si>
    <t>Silviculture in forest and landscape under global change</t>
  </si>
  <si>
    <t>Bachelor thesis in Landscape architecture</t>
  </si>
  <si>
    <t>Bachelor thesis in Forestry Science</t>
  </si>
  <si>
    <t>Huvudområde Landskapsarkitektur</t>
  </si>
  <si>
    <t>Landskapsarkitektur grundnivå varav</t>
  </si>
  <si>
    <t>Kandidatarbete Landskapsarkitektur</t>
  </si>
  <si>
    <t>Avklarad (sätt x)</t>
  </si>
  <si>
    <t xml:space="preserve">Trees, structure and function </t>
  </si>
  <si>
    <t xml:space="preserve">Analysis of forested landscapes </t>
  </si>
  <si>
    <t>Bara i ett  huvudområde behöver kraven vara uppfyllt</t>
  </si>
  <si>
    <t>Bara i ett huvudområde behöver kraven vara uppfyllt</t>
  </si>
  <si>
    <t>Arbets-processer</t>
  </si>
  <si>
    <t xml:space="preserve">Har man inte läst något av kandidatprogrammen kan man fylla i sina kurser i  denna tabell.  All information man behöver hittar man i kursplanerna för respektive kurs. </t>
  </si>
  <si>
    <t>OBS! Vi arbetar löpande med  kvalitetssäkring och utveckling av verktyget, se därför till att alltid arbeta i den
senaste versionen som finns på programsidan på studentwebben!</t>
  </si>
  <si>
    <r>
      <t xml:space="preserve">FYLLS I AUTOMATISKT!        </t>
    </r>
    <r>
      <rPr>
        <b/>
        <sz val="16"/>
        <rFont val="Calibri"/>
        <family val="2"/>
        <scheme val="minor"/>
      </rPr>
      <t>Examenskrav Forest &amp; Landscape</t>
    </r>
  </si>
  <si>
    <t>SV0022</t>
  </si>
  <si>
    <t>FÖ0485</t>
  </si>
  <si>
    <t>Business management in forest and landscape</t>
  </si>
  <si>
    <t>SV0023</t>
  </si>
  <si>
    <t>EX1012</t>
  </si>
  <si>
    <t>EX1011</t>
  </si>
  <si>
    <t>Kurs</t>
  </si>
  <si>
    <t>LK0394</t>
  </si>
  <si>
    <t>LK0425</t>
  </si>
  <si>
    <t>Behörig till masterprogram</t>
  </si>
  <si>
    <t>Program</t>
  </si>
  <si>
    <t>Huvudområde</t>
  </si>
  <si>
    <t>Forest Ecology and Sustainable Management</t>
  </si>
  <si>
    <t>Euroforester</t>
  </si>
  <si>
    <t>Forest Bioeconomy</t>
  </si>
  <si>
    <t>Industrial Wood Supply Management</t>
  </si>
  <si>
    <t>Nej</t>
  </si>
  <si>
    <t>Landscape Architecture</t>
  </si>
  <si>
    <t>Hur använder jag verktyget?</t>
  </si>
  <si>
    <r>
      <t xml:space="preserve">2. Ange med ett X </t>
    </r>
    <r>
      <rPr>
        <sz val="12"/>
        <color theme="1"/>
        <rFont val="Calibri"/>
        <family val="2"/>
        <scheme val="minor"/>
      </rPr>
      <t xml:space="preserve">i kolumn L vilka kurser du har läst/tänkt läsa </t>
    </r>
  </si>
  <si>
    <r>
      <rPr>
        <b/>
        <sz val="12"/>
        <color theme="1"/>
        <rFont val="Calibri"/>
        <family val="2"/>
        <scheme val="minor"/>
      </rPr>
      <t>3. Välj vilket huvudområde</t>
    </r>
    <r>
      <rPr>
        <sz val="12"/>
        <color theme="1"/>
        <rFont val="Calibri"/>
        <family val="2"/>
        <scheme val="minor"/>
      </rPr>
      <t xml:space="preserve"> i kolumn M kursen ska räknas som</t>
    </r>
  </si>
  <si>
    <r>
      <rPr>
        <b/>
        <sz val="12"/>
        <color theme="1"/>
        <rFont val="Calibri"/>
        <family val="2"/>
        <scheme val="minor"/>
      </rPr>
      <t>2.</t>
    </r>
    <r>
      <rPr>
        <sz val="12"/>
        <color theme="1"/>
        <rFont val="Calibri"/>
        <family val="2"/>
        <scheme val="minor"/>
      </rPr>
      <t xml:space="preserve"> Programkurserna är förifyllda. </t>
    </r>
    <r>
      <rPr>
        <b/>
        <sz val="12"/>
        <color theme="1"/>
        <rFont val="Calibri"/>
        <family val="2"/>
        <scheme val="minor"/>
      </rPr>
      <t>Om du läst andra kurser</t>
    </r>
    <r>
      <rPr>
        <sz val="12"/>
        <color theme="1"/>
        <rFont val="Calibri"/>
        <family val="2"/>
        <scheme val="minor"/>
      </rPr>
      <t xml:space="preserve"> som inte finns med i listan av kurser, fyll i uppgifterna själv för den kurs/kurser man vill ska räknas med eller använd fliken Individuelll JM-examen som inte har några färdigifyllda kurser. Alla uppgifter du behöver för att fylla i själv hittar man i kursplanen för den aktuella kursen. </t>
    </r>
  </si>
  <si>
    <r>
      <rPr>
        <b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. Till höger där det står "</t>
    </r>
    <r>
      <rPr>
        <b/>
        <sz val="12"/>
        <color theme="1"/>
        <rFont val="Calibri"/>
        <family val="2"/>
        <scheme val="minor"/>
      </rPr>
      <t>Fylls i automatiskt</t>
    </r>
    <r>
      <rPr>
        <sz val="12"/>
        <color theme="1"/>
        <rFont val="Calibri"/>
        <family val="2"/>
        <scheme val="minor"/>
      </rPr>
      <t xml:space="preserve">" </t>
    </r>
    <r>
      <rPr>
        <b/>
        <sz val="12"/>
        <color theme="1"/>
        <rFont val="Calibri"/>
        <family val="2"/>
        <scheme val="minor"/>
      </rPr>
      <t>ser du, beroende på hur du har fyllt i dokumentet, hur många poäng du läst/tänkt läsa samt inom vilka ämnen.</t>
    </r>
    <r>
      <rPr>
        <sz val="12"/>
        <color theme="1"/>
        <rFont val="Calibri"/>
        <family val="2"/>
        <scheme val="minor"/>
      </rPr>
      <t xml:space="preserve"> Det framgår även hur mycket poäng som saknas i respektive ämnen beroende på vilken examen man riktar in sig på. </t>
    </r>
  </si>
  <si>
    <r>
      <rPr>
        <b/>
        <sz val="12"/>
        <color theme="1"/>
        <rFont val="Calibri"/>
        <family val="2"/>
        <scheme val="minor"/>
      </rPr>
      <t xml:space="preserve">1. Spara ner </t>
    </r>
    <r>
      <rPr>
        <sz val="12"/>
        <color theme="1"/>
        <rFont val="Calibri"/>
        <family val="2"/>
        <scheme val="minor"/>
      </rPr>
      <t>den senaste versionen av verktyget på din dator</t>
    </r>
    <r>
      <rPr>
        <b/>
        <sz val="12"/>
        <color theme="1"/>
        <rFont val="Calibri"/>
        <family val="2"/>
        <scheme val="minor"/>
      </rPr>
      <t>. (se länk nedan)</t>
    </r>
  </si>
  <si>
    <t>Länk till programsidan</t>
  </si>
  <si>
    <t>Conservation and Management of Fish and Wildlife</t>
  </si>
  <si>
    <t>Fördjupningsnivå G2F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</si>
</sst>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.##0;&quot;0&quot;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name val="Times New Roman"/>
      <family val="1"/>
    </font>
    <font>
      <sz val="10.5"/>
      <color rgb="FF050505"/>
      <name val="Times New Roman"/>
      <family val="1"/>
    </font>
    <font>
      <sz val="11"/>
      <name val="Times New Roman"/>
      <family val="1"/>
    </font>
    <font>
      <b/>
      <i/>
      <sz val="2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2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369">
    <xf numFmtId="0" fontId="0" fillId="0" borderId="0" xfId="0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1" fillId="5" borderId="7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0" fillId="4" borderId="36" xfId="0" applyFill="1" applyBorder="1" applyProtection="1"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alignment horizontal="center" wrapText="1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Protection="1"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23" fillId="3" borderId="0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0" fillId="3" borderId="0" xfId="0" applyFill="1" applyBorder="1" applyProtection="1">
      <protection locked="0"/>
    </xf>
    <xf numFmtId="0" fontId="3" fillId="0" borderId="27" xfId="0" applyFont="1" applyFill="1" applyBorder="1" applyProtection="1"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0" fillId="0" borderId="25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42" xfId="0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0" fillId="9" borderId="36" xfId="0" applyFill="1" applyBorder="1" applyProtection="1">
      <protection locked="0"/>
    </xf>
    <xf numFmtId="0" fontId="3" fillId="9" borderId="17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0" fillId="9" borderId="17" xfId="0" applyFill="1" applyBorder="1" applyProtection="1">
      <protection locked="0"/>
    </xf>
    <xf numFmtId="0" fontId="0" fillId="9" borderId="17" xfId="0" applyFill="1" applyBorder="1" applyAlignment="1" applyProtection="1">
      <alignment horizontal="center" wrapText="1"/>
      <protection locked="0"/>
    </xf>
    <xf numFmtId="0" fontId="0" fillId="9" borderId="25" xfId="0" applyFill="1" applyBorder="1" applyProtection="1">
      <protection locked="0"/>
    </xf>
    <xf numFmtId="0" fontId="11" fillId="5" borderId="0" xfId="0" applyFont="1" applyFill="1" applyBorder="1" applyAlignment="1" applyProtection="1">
      <protection locked="0"/>
    </xf>
    <xf numFmtId="0" fontId="0" fillId="5" borderId="18" xfId="0" applyFill="1" applyBorder="1" applyProtection="1"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Protection="1"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3" xfId="0" applyFill="1" applyBorder="1" applyProtection="1"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23" fillId="3" borderId="0" xfId="0" applyFont="1" applyFill="1" applyProtection="1">
      <protection locked="0"/>
    </xf>
    <xf numFmtId="0" fontId="0" fillId="3" borderId="2" xfId="0" applyFill="1" applyBorder="1" applyProtection="1"/>
    <xf numFmtId="0" fontId="3" fillId="0" borderId="21" xfId="0" applyFont="1" applyFill="1" applyBorder="1" applyProtection="1"/>
    <xf numFmtId="0" fontId="3" fillId="0" borderId="22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 wrapText="1"/>
    </xf>
    <xf numFmtId="0" fontId="3" fillId="0" borderId="14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 wrapText="1"/>
    </xf>
    <xf numFmtId="0" fontId="0" fillId="0" borderId="14" xfId="0" applyFill="1" applyBorder="1" applyProtection="1"/>
    <xf numFmtId="0" fontId="0" fillId="0" borderId="21" xfId="0" applyFill="1" applyBorder="1" applyProtection="1"/>
    <xf numFmtId="0" fontId="0" fillId="3" borderId="42" xfId="0" applyFill="1" applyBorder="1" applyProtection="1"/>
    <xf numFmtId="0" fontId="3" fillId="0" borderId="1" xfId="0" applyFont="1" applyFill="1" applyBorder="1" applyProtection="1"/>
    <xf numFmtId="0" fontId="0" fillId="0" borderId="1" xfId="0" applyFill="1" applyBorder="1" applyProtection="1"/>
    <xf numFmtId="0" fontId="11" fillId="8" borderId="7" xfId="0" applyFont="1" applyFill="1" applyBorder="1" applyProtection="1"/>
    <xf numFmtId="0" fontId="11" fillId="8" borderId="0" xfId="0" applyFont="1" applyFill="1" applyBorder="1" applyProtection="1"/>
    <xf numFmtId="0" fontId="11" fillId="8" borderId="0" xfId="0" applyFont="1" applyFill="1" applyBorder="1" applyAlignment="1" applyProtection="1">
      <alignment horizontal="center"/>
    </xf>
    <xf numFmtId="0" fontId="13" fillId="5" borderId="7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vertical="center"/>
    </xf>
    <xf numFmtId="0" fontId="14" fillId="5" borderId="0" xfId="0" applyFont="1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left" vertical="center"/>
    </xf>
    <xf numFmtId="0" fontId="4" fillId="8" borderId="0" xfId="0" applyFont="1" applyFill="1" applyBorder="1" applyAlignment="1" applyProtection="1">
      <alignment horizontal="left" vertical="center"/>
    </xf>
    <xf numFmtId="0" fontId="4" fillId="8" borderId="7" xfId="0" applyFont="1" applyFill="1" applyBorder="1" applyAlignment="1" applyProtection="1">
      <alignment vertical="center"/>
    </xf>
    <xf numFmtId="0" fontId="4" fillId="8" borderId="0" xfId="0" applyFont="1" applyFill="1" applyBorder="1" applyProtection="1"/>
    <xf numFmtId="0" fontId="15" fillId="5" borderId="0" xfId="0" applyFont="1" applyFill="1" applyBorder="1" applyProtection="1"/>
    <xf numFmtId="0" fontId="13" fillId="5" borderId="0" xfId="0" applyFont="1" applyFill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vertical="center"/>
    </xf>
    <xf numFmtId="0" fontId="15" fillId="5" borderId="10" xfId="0" applyFont="1" applyFill="1" applyBorder="1" applyProtection="1"/>
    <xf numFmtId="0" fontId="15" fillId="5" borderId="10" xfId="0" applyFont="1" applyFill="1" applyBorder="1" applyAlignment="1" applyProtection="1">
      <alignment horizontal="center"/>
    </xf>
    <xf numFmtId="0" fontId="11" fillId="6" borderId="18" xfId="0" applyFont="1" applyFill="1" applyBorder="1" applyProtection="1"/>
    <xf numFmtId="0" fontId="11" fillId="6" borderId="17" xfId="0" applyFont="1" applyFill="1" applyBorder="1" applyProtection="1"/>
    <xf numFmtId="0" fontId="11" fillId="6" borderId="17" xfId="0" applyFont="1" applyFill="1" applyBorder="1" applyAlignment="1" applyProtection="1">
      <alignment horizontal="center"/>
    </xf>
    <xf numFmtId="0" fontId="14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0" fontId="14" fillId="2" borderId="9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4" fillId="6" borderId="17" xfId="0" applyFont="1" applyFill="1" applyBorder="1" applyProtection="1"/>
    <xf numFmtId="0" fontId="10" fillId="2" borderId="7" xfId="0" applyFont="1" applyFill="1" applyBorder="1" applyProtection="1"/>
    <xf numFmtId="0" fontId="10" fillId="2" borderId="0" xfId="0" applyFont="1" applyFill="1" applyBorder="1" applyProtection="1"/>
    <xf numFmtId="0" fontId="13" fillId="2" borderId="7" xfId="0" applyFont="1" applyFill="1" applyBorder="1" applyProtection="1"/>
    <xf numFmtId="0" fontId="15" fillId="2" borderId="0" xfId="0" applyFont="1" applyFill="1" applyBorder="1" applyProtection="1"/>
    <xf numFmtId="0" fontId="15" fillId="2" borderId="7" xfId="0" applyFont="1" applyFill="1" applyBorder="1" applyProtection="1"/>
    <xf numFmtId="0" fontId="11" fillId="2" borderId="9" xfId="0" applyFont="1" applyFill="1" applyBorder="1" applyProtection="1"/>
    <xf numFmtId="0" fontId="11" fillId="2" borderId="10" xfId="0" applyFont="1" applyFill="1" applyBorder="1" applyProtection="1"/>
    <xf numFmtId="0" fontId="11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 wrapText="1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0" fillId="5" borderId="7" xfId="0" applyFill="1" applyBorder="1" applyProtection="1"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/>
    </xf>
    <xf numFmtId="0" fontId="4" fillId="6" borderId="18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center"/>
    </xf>
    <xf numFmtId="0" fontId="13" fillId="2" borderId="39" xfId="0" applyFont="1" applyFill="1" applyBorder="1" applyAlignment="1" applyProtection="1"/>
    <xf numFmtId="0" fontId="13" fillId="2" borderId="40" xfId="0" applyFont="1" applyFill="1" applyBorder="1" applyAlignment="1" applyProtection="1"/>
    <xf numFmtId="0" fontId="13" fillId="2" borderId="40" xfId="0" applyFont="1" applyFill="1" applyBorder="1" applyAlignment="1" applyProtection="1">
      <alignment horizontal="center"/>
    </xf>
    <xf numFmtId="0" fontId="3" fillId="10" borderId="33" xfId="0" applyFont="1" applyFill="1" applyBorder="1" applyAlignment="1" applyProtection="1">
      <alignment horizontal="center"/>
      <protection locked="0"/>
    </xf>
    <xf numFmtId="0" fontId="0" fillId="10" borderId="37" xfId="0" applyFill="1" applyBorder="1" applyProtection="1"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0" fillId="2" borderId="37" xfId="0" applyFill="1" applyBorder="1" applyProtection="1">
      <protection locked="0"/>
    </xf>
    <xf numFmtId="0" fontId="1" fillId="9" borderId="17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Protection="1">
      <protection locked="0"/>
    </xf>
    <xf numFmtId="0" fontId="0" fillId="0" borderId="15" xfId="0" applyBorder="1" applyProtection="1"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10" borderId="7" xfId="0" applyFill="1" applyBorder="1" applyProtection="1"/>
    <xf numFmtId="0" fontId="1" fillId="10" borderId="33" xfId="0" applyFont="1" applyFill="1" applyBorder="1" applyAlignment="1" applyProtection="1">
      <alignment horizontal="center"/>
    </xf>
    <xf numFmtId="0" fontId="3" fillId="10" borderId="33" xfId="0" applyFont="1" applyFill="1" applyBorder="1" applyAlignment="1" applyProtection="1">
      <alignment horizontal="center"/>
    </xf>
    <xf numFmtId="0" fontId="3" fillId="10" borderId="33" xfId="0" applyFont="1" applyFill="1" applyBorder="1" applyAlignment="1" applyProtection="1">
      <alignment horizontal="center" wrapText="1"/>
    </xf>
    <xf numFmtId="0" fontId="3" fillId="0" borderId="15" xfId="0" applyFont="1" applyFill="1" applyBorder="1" applyProtection="1"/>
    <xf numFmtId="0" fontId="0" fillId="0" borderId="1" xfId="0" applyBorder="1" applyProtection="1"/>
    <xf numFmtId="0" fontId="0" fillId="3" borderId="36" xfId="0" applyFill="1" applyBorder="1" applyProtection="1"/>
    <xf numFmtId="0" fontId="0" fillId="2" borderId="36" xfId="0" applyFill="1" applyBorder="1" applyProtection="1"/>
    <xf numFmtId="0" fontId="1" fillId="2" borderId="33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 wrapText="1"/>
    </xf>
    <xf numFmtId="0" fontId="13" fillId="5" borderId="11" xfId="0" applyFont="1" applyFill="1" applyBorder="1" applyAlignment="1" applyProtection="1">
      <alignment horizontal="center"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 wrapText="1"/>
      <protection locked="0"/>
    </xf>
    <xf numFmtId="0" fontId="10" fillId="5" borderId="20" xfId="0" applyFont="1" applyFill="1" applyBorder="1" applyAlignment="1" applyProtection="1">
      <alignment horizontal="center" wrapText="1"/>
      <protection locked="0"/>
    </xf>
    <xf numFmtId="0" fontId="10" fillId="5" borderId="1" xfId="0" applyFont="1" applyFill="1" applyBorder="1" applyAlignment="1" applyProtection="1">
      <alignment horizont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26" xfId="0" applyFont="1" applyFill="1" applyBorder="1" applyProtection="1">
      <protection locked="0"/>
    </xf>
    <xf numFmtId="0" fontId="3" fillId="3" borderId="13" xfId="0" applyFont="1" applyFill="1" applyBorder="1" applyAlignment="1" applyProtection="1">
      <alignment horizontal="center" wrapText="1"/>
      <protection locked="0"/>
    </xf>
    <xf numFmtId="0" fontId="0" fillId="0" borderId="22" xfId="0" applyBorder="1" applyProtection="1">
      <protection locked="0"/>
    </xf>
    <xf numFmtId="0" fontId="13" fillId="3" borderId="0" xfId="0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13" fillId="5" borderId="7" xfId="0" applyFont="1" applyFill="1" applyBorder="1" applyAlignment="1" applyProtection="1">
      <alignment horizontal="left" vertical="center"/>
    </xf>
    <xf numFmtId="0" fontId="14" fillId="5" borderId="0" xfId="0" applyFont="1" applyFill="1" applyBorder="1" applyAlignment="1" applyProtection="1">
      <alignment horizontal="left" vertical="center"/>
    </xf>
    <xf numFmtId="0" fontId="10" fillId="5" borderId="7" xfId="0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14" fillId="5" borderId="7" xfId="0" applyFont="1" applyFill="1" applyBorder="1" applyAlignment="1" applyProtection="1">
      <alignment vertical="center"/>
    </xf>
    <xf numFmtId="0" fontId="14" fillId="5" borderId="9" xfId="0" applyFont="1" applyFill="1" applyBorder="1" applyAlignment="1" applyProtection="1">
      <alignment vertical="center"/>
    </xf>
    <xf numFmtId="0" fontId="14" fillId="5" borderId="10" xfId="0" applyFont="1" applyFill="1" applyBorder="1" applyAlignment="1" applyProtection="1">
      <alignment vertical="center"/>
    </xf>
    <xf numFmtId="0" fontId="14" fillId="5" borderId="10" xfId="0" applyFont="1" applyFill="1" applyBorder="1" applyAlignment="1" applyProtection="1">
      <alignment horizontal="center" vertical="center"/>
    </xf>
    <xf numFmtId="0" fontId="4" fillId="8" borderId="7" xfId="0" applyFont="1" applyFill="1" applyBorder="1" applyProtection="1"/>
    <xf numFmtId="0" fontId="10" fillId="5" borderId="7" xfId="0" applyFont="1" applyFill="1" applyBorder="1" applyProtection="1"/>
    <xf numFmtId="0" fontId="10" fillId="5" borderId="0" xfId="0" applyFont="1" applyFill="1" applyBorder="1" applyProtection="1"/>
    <xf numFmtId="0" fontId="10" fillId="5" borderId="0" xfId="0" applyFont="1" applyFill="1" applyBorder="1" applyAlignment="1" applyProtection="1">
      <alignment horizontal="center"/>
    </xf>
    <xf numFmtId="0" fontId="13" fillId="5" borderId="7" xfId="0" applyFont="1" applyFill="1" applyBorder="1" applyProtection="1"/>
    <xf numFmtId="0" fontId="15" fillId="5" borderId="7" xfId="0" applyFont="1" applyFill="1" applyBorder="1" applyProtection="1"/>
    <xf numFmtId="0" fontId="13" fillId="5" borderId="9" xfId="0" applyFont="1" applyFill="1" applyBorder="1" applyProtection="1"/>
    <xf numFmtId="0" fontId="13" fillId="5" borderId="10" xfId="0" applyFont="1" applyFill="1" applyBorder="1" applyProtection="1"/>
    <xf numFmtId="0" fontId="13" fillId="5" borderId="10" xfId="0" applyFont="1" applyFill="1" applyBorder="1" applyAlignment="1" applyProtection="1">
      <alignment horizontal="center"/>
    </xf>
    <xf numFmtId="0" fontId="11" fillId="7" borderId="9" xfId="0" applyFont="1" applyFill="1" applyBorder="1" applyProtection="1"/>
    <xf numFmtId="0" fontId="11" fillId="7" borderId="10" xfId="0" applyFont="1" applyFill="1" applyBorder="1" applyProtection="1"/>
    <xf numFmtId="0" fontId="11" fillId="7" borderId="10" xfId="0" applyFont="1" applyFill="1" applyBorder="1" applyAlignment="1" applyProtection="1">
      <alignment horizontal="center"/>
    </xf>
    <xf numFmtId="0" fontId="4" fillId="7" borderId="11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49" fontId="13" fillId="2" borderId="8" xfId="0" applyNumberFormat="1" applyFont="1" applyFill="1" applyBorder="1" applyAlignment="1" applyProtection="1">
      <alignment horizontal="center"/>
    </xf>
    <xf numFmtId="49" fontId="13" fillId="2" borderId="8" xfId="0" applyNumberFormat="1" applyFont="1" applyFill="1" applyBorder="1" applyAlignment="1" applyProtection="1">
      <alignment horizontal="center" vertical="center"/>
    </xf>
    <xf numFmtId="49" fontId="13" fillId="2" borderId="11" xfId="0" applyNumberFormat="1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/>
    <xf numFmtId="49" fontId="13" fillId="2" borderId="41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0" fontId="13" fillId="2" borderId="8" xfId="0" applyNumberFormat="1" applyFont="1" applyFill="1" applyBorder="1" applyAlignment="1" applyProtection="1">
      <alignment horizontal="center"/>
    </xf>
    <xf numFmtId="0" fontId="23" fillId="3" borderId="0" xfId="0" applyFont="1" applyFill="1" applyProtection="1"/>
    <xf numFmtId="0" fontId="23" fillId="3" borderId="0" xfId="0" applyFont="1" applyFill="1" applyBorder="1" applyProtection="1"/>
    <xf numFmtId="0" fontId="10" fillId="5" borderId="0" xfId="0" applyNumberFormat="1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8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24" fillId="3" borderId="1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protection locked="0"/>
    </xf>
    <xf numFmtId="0" fontId="24" fillId="3" borderId="2" xfId="0" applyFont="1" applyFill="1" applyBorder="1" applyAlignment="1" applyProtection="1">
      <alignment vertical="center"/>
      <protection locked="0"/>
    </xf>
    <xf numFmtId="0" fontId="13" fillId="3" borderId="2" xfId="0" applyFont="1" applyFill="1" applyBorder="1" applyAlignment="1" applyProtection="1">
      <protection locked="0"/>
    </xf>
    <xf numFmtId="164" fontId="13" fillId="2" borderId="8" xfId="0" applyNumberFormat="1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vertical="center"/>
    </xf>
    <xf numFmtId="0" fontId="1" fillId="5" borderId="26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26" fillId="5" borderId="0" xfId="0" applyFont="1" applyFill="1"/>
    <xf numFmtId="0" fontId="0" fillId="3" borderId="32" xfId="0" applyFill="1" applyBorder="1"/>
    <xf numFmtId="0" fontId="15" fillId="3" borderId="16" xfId="0" applyFont="1" applyFill="1" applyBorder="1"/>
    <xf numFmtId="0" fontId="15" fillId="3" borderId="15" xfId="0" applyFont="1" applyFill="1" applyBorder="1"/>
    <xf numFmtId="0" fontId="0" fillId="5" borderId="0" xfId="0" applyFill="1"/>
    <xf numFmtId="0" fontId="0" fillId="3" borderId="29" xfId="0" applyFill="1" applyBorder="1"/>
    <xf numFmtId="0" fontId="15" fillId="3" borderId="0" xfId="0" applyFont="1" applyFill="1" applyBorder="1" applyAlignment="1">
      <alignment horizontal="left" vertical="top" wrapText="1"/>
    </xf>
    <xf numFmtId="0" fontId="15" fillId="3" borderId="2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vertical="top"/>
    </xf>
    <xf numFmtId="0" fontId="13" fillId="3" borderId="0" xfId="0" applyFont="1" applyFill="1" applyBorder="1"/>
    <xf numFmtId="0" fontId="15" fillId="3" borderId="0" xfId="0" applyFont="1" applyFill="1" applyBorder="1"/>
    <xf numFmtId="0" fontId="15" fillId="3" borderId="20" xfId="0" applyFont="1" applyFill="1" applyBorder="1"/>
    <xf numFmtId="0" fontId="0" fillId="3" borderId="30" xfId="0" applyFill="1" applyBorder="1"/>
    <xf numFmtId="0" fontId="27" fillId="3" borderId="0" xfId="1" applyFill="1" applyBorder="1" applyAlignment="1">
      <alignment horizontal="left" vertical="top" wrapText="1"/>
    </xf>
    <xf numFmtId="0" fontId="27" fillId="3" borderId="20" xfId="1" applyFill="1" applyBorder="1" applyAlignment="1">
      <alignment horizontal="left" vertical="top" wrapText="1"/>
    </xf>
    <xf numFmtId="0" fontId="27" fillId="3" borderId="17" xfId="1" applyFill="1" applyBorder="1" applyAlignment="1">
      <alignment horizontal="left" vertical="top" wrapText="1"/>
    </xf>
    <xf numFmtId="0" fontId="27" fillId="3" borderId="21" xfId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20" xfId="0" applyFont="1" applyFill="1" applyBorder="1" applyAlignment="1">
      <alignment horizontal="left" vertical="top" wrapText="1"/>
    </xf>
    <xf numFmtId="0" fontId="16" fillId="5" borderId="0" xfId="0" applyFont="1" applyFill="1" applyAlignment="1">
      <alignment horizontal="left"/>
    </xf>
    <xf numFmtId="0" fontId="25" fillId="3" borderId="10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 vertical="center"/>
      <protection locked="0"/>
    </xf>
    <xf numFmtId="0" fontId="5" fillId="6" borderId="32" xfId="0" applyFont="1" applyFill="1" applyBorder="1" applyAlignment="1" applyProtection="1">
      <alignment horizontal="center" vertical="center" wrapText="1"/>
      <protection locked="0"/>
    </xf>
    <xf numFmtId="0" fontId="5" fillId="6" borderId="16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5" fillId="6" borderId="29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0" fontId="5" fillId="6" borderId="20" xfId="0" applyFont="1" applyFill="1" applyBorder="1" applyAlignment="1" applyProtection="1">
      <alignment horizontal="center" vertical="center" wrapText="1"/>
      <protection locked="0"/>
    </xf>
    <xf numFmtId="0" fontId="5" fillId="6" borderId="30" xfId="0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5" fillId="6" borderId="2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18" fillId="8" borderId="5" xfId="0" applyFont="1" applyFill="1" applyBorder="1" applyAlignment="1" applyProtection="1">
      <alignment horizontal="center" vertical="center"/>
      <protection locked="0"/>
    </xf>
    <xf numFmtId="0" fontId="18" fillId="8" borderId="6" xfId="0" applyFont="1" applyFill="1" applyBorder="1" applyAlignment="1" applyProtection="1">
      <alignment horizontal="center" vertical="center"/>
      <protection locked="0"/>
    </xf>
    <xf numFmtId="0" fontId="18" fillId="8" borderId="23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9" xfId="0" applyFont="1" applyFill="1" applyBorder="1" applyAlignment="1" applyProtection="1">
      <alignment horizontal="center" vertical="center"/>
      <protection locked="0"/>
    </xf>
    <xf numFmtId="0" fontId="16" fillId="6" borderId="5" xfId="0" applyFont="1" applyFill="1" applyBorder="1" applyAlignment="1" applyProtection="1">
      <alignment horizontal="center"/>
    </xf>
    <xf numFmtId="0" fontId="16" fillId="6" borderId="6" xfId="0" applyFont="1" applyFill="1" applyBorder="1" applyAlignment="1" applyProtection="1">
      <alignment horizontal="center"/>
    </xf>
    <xf numFmtId="49" fontId="4" fillId="6" borderId="23" xfId="0" applyNumberFormat="1" applyFont="1" applyFill="1" applyBorder="1" applyAlignment="1" applyProtection="1">
      <alignment horizontal="center" vertical="center" wrapText="1"/>
    </xf>
    <xf numFmtId="49" fontId="4" fillId="6" borderId="19" xfId="0" applyNumberFormat="1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wrapText="1"/>
      <protection locked="0"/>
    </xf>
    <xf numFmtId="0" fontId="2" fillId="5" borderId="17" xfId="0" applyFont="1" applyFill="1" applyBorder="1" applyAlignment="1" applyProtection="1">
      <alignment horizontal="center" wrapText="1"/>
      <protection locked="0"/>
    </xf>
    <xf numFmtId="0" fontId="2" fillId="5" borderId="20" xfId="0" applyFont="1" applyFill="1" applyBorder="1" applyAlignment="1" applyProtection="1">
      <alignment horizontal="center" wrapText="1"/>
      <protection locked="0"/>
    </xf>
    <xf numFmtId="0" fontId="2" fillId="5" borderId="21" xfId="0" applyFont="1" applyFill="1" applyBorder="1" applyAlignment="1" applyProtection="1">
      <alignment horizontal="center" wrapText="1"/>
      <protection locked="0"/>
    </xf>
    <xf numFmtId="0" fontId="2" fillId="5" borderId="30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34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1" fillId="5" borderId="35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9" fillId="8" borderId="5" xfId="0" applyFont="1" applyFill="1" applyBorder="1" applyAlignment="1" applyProtection="1">
      <alignment horizontal="center" vertical="center"/>
      <protection locked="0"/>
    </xf>
    <xf numFmtId="0" fontId="9" fillId="8" borderId="6" xfId="0" applyFont="1" applyFill="1" applyBorder="1" applyAlignment="1" applyProtection="1">
      <alignment horizontal="center" vertical="center"/>
      <protection locked="0"/>
    </xf>
    <xf numFmtId="0" fontId="9" fillId="8" borderId="23" xfId="0" applyFont="1" applyFill="1" applyBorder="1" applyAlignment="1" applyProtection="1">
      <alignment horizontal="center" vertical="center"/>
      <protection locked="0"/>
    </xf>
    <xf numFmtId="0" fontId="9" fillId="8" borderId="7" xfId="0" applyFont="1" applyFill="1" applyBorder="1" applyAlignment="1" applyProtection="1">
      <alignment horizontal="center" vertical="center"/>
      <protection locked="0"/>
    </xf>
    <xf numFmtId="0" fontId="9" fillId="8" borderId="0" xfId="0" applyFont="1" applyFill="1" applyBorder="1" applyAlignment="1" applyProtection="1">
      <alignment horizontal="center" vertical="center"/>
      <protection locked="0"/>
    </xf>
    <xf numFmtId="0" fontId="9" fillId="8" borderId="8" xfId="0" applyFont="1" applyFill="1" applyBorder="1" applyAlignment="1" applyProtection="1">
      <alignment horizontal="center" vertical="center"/>
      <protection locked="0"/>
    </xf>
    <xf numFmtId="0" fontId="9" fillId="8" borderId="9" xfId="0" applyFont="1" applyFill="1" applyBorder="1" applyAlignment="1" applyProtection="1">
      <alignment horizontal="center" vertical="center"/>
      <protection locked="0"/>
    </xf>
    <xf numFmtId="0" fontId="9" fillId="8" borderId="10" xfId="0" applyFont="1" applyFill="1" applyBorder="1" applyAlignment="1" applyProtection="1">
      <alignment horizontal="center" vertical="center"/>
      <protection locked="0"/>
    </xf>
    <xf numFmtId="0" fontId="9" fillId="8" borderId="11" xfId="0" applyFont="1" applyFill="1" applyBorder="1" applyAlignment="1" applyProtection="1">
      <alignment horizontal="center" vertical="center"/>
      <protection locked="0"/>
    </xf>
    <xf numFmtId="0" fontId="5" fillId="8" borderId="32" xfId="0" applyFont="1" applyFill="1" applyBorder="1" applyAlignment="1" applyProtection="1">
      <alignment horizontal="center" vertical="center" wrapText="1"/>
      <protection locked="0"/>
    </xf>
    <xf numFmtId="0" fontId="5" fillId="8" borderId="16" xfId="0" applyFont="1" applyFill="1" applyBorder="1" applyAlignment="1" applyProtection="1">
      <alignment horizontal="center" vertical="center" wrapText="1"/>
      <protection locked="0"/>
    </xf>
    <xf numFmtId="0" fontId="5" fillId="8" borderId="15" xfId="0" applyFont="1" applyFill="1" applyBorder="1" applyAlignment="1" applyProtection="1">
      <alignment horizontal="center" vertical="center" wrapText="1"/>
      <protection locked="0"/>
    </xf>
    <xf numFmtId="0" fontId="5" fillId="8" borderId="29" xfId="0" applyFont="1" applyFill="1" applyBorder="1" applyAlignment="1" applyProtection="1">
      <alignment horizontal="center" vertical="center" wrapText="1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5" fillId="8" borderId="20" xfId="0" applyFont="1" applyFill="1" applyBorder="1" applyAlignment="1" applyProtection="1">
      <alignment horizontal="center" vertical="center" wrapText="1"/>
      <protection locked="0"/>
    </xf>
    <xf numFmtId="0" fontId="5" fillId="8" borderId="30" xfId="0" applyFont="1" applyFill="1" applyBorder="1" applyAlignment="1" applyProtection="1">
      <alignment horizontal="center" vertical="center" wrapText="1"/>
      <protection locked="0"/>
    </xf>
    <xf numFmtId="0" fontId="5" fillId="8" borderId="17" xfId="0" applyFont="1" applyFill="1" applyBorder="1" applyAlignment="1" applyProtection="1">
      <alignment horizontal="center" vertical="center" wrapText="1"/>
      <protection locked="0"/>
    </xf>
    <xf numFmtId="0" fontId="5" fillId="8" borderId="21" xfId="0" applyFont="1" applyFill="1" applyBorder="1" applyAlignment="1" applyProtection="1">
      <alignment horizontal="center" vertical="center" wrapText="1"/>
      <protection locked="0"/>
    </xf>
    <xf numFmtId="0" fontId="17" fillId="8" borderId="5" xfId="0" applyFont="1" applyFill="1" applyBorder="1" applyAlignment="1" applyProtection="1">
      <alignment horizontal="center" wrapText="1"/>
    </xf>
    <xf numFmtId="0" fontId="17" fillId="8" borderId="6" xfId="0" applyFont="1" applyFill="1" applyBorder="1" applyAlignment="1" applyProtection="1">
      <alignment horizontal="center" wrapText="1"/>
    </xf>
    <xf numFmtId="0" fontId="17" fillId="8" borderId="23" xfId="0" applyFont="1" applyFill="1" applyBorder="1" applyAlignment="1" applyProtection="1">
      <alignment horizontal="center" wrapText="1"/>
    </xf>
    <xf numFmtId="0" fontId="11" fillId="8" borderId="7" xfId="0" applyFont="1" applyFill="1" applyBorder="1" applyAlignment="1" applyProtection="1">
      <alignment horizontal="left" wrapText="1"/>
    </xf>
    <xf numFmtId="0" fontId="12" fillId="8" borderId="0" xfId="0" applyFont="1" applyFill="1" applyBorder="1" applyAlignment="1" applyProtection="1">
      <alignment horizontal="left" wrapText="1"/>
    </xf>
    <xf numFmtId="0" fontId="16" fillId="5" borderId="44" xfId="0" applyFont="1" applyFill="1" applyBorder="1" applyAlignment="1" applyProtection="1">
      <alignment horizontal="center" vertical="center"/>
    </xf>
    <xf numFmtId="0" fontId="16" fillId="5" borderId="16" xfId="0" applyFont="1" applyFill="1" applyBorder="1" applyAlignment="1" applyProtection="1">
      <alignment horizontal="center" vertical="center"/>
    </xf>
    <xf numFmtId="0" fontId="16" fillId="5" borderId="7" xfId="0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26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wrapText="1"/>
    </xf>
    <xf numFmtId="0" fontId="16" fillId="8" borderId="5" xfId="0" applyFont="1" applyFill="1" applyBorder="1" applyAlignment="1" applyProtection="1">
      <alignment horizontal="center" vertical="center"/>
    </xf>
    <xf numFmtId="0" fontId="16" fillId="8" borderId="6" xfId="0" applyFont="1" applyFill="1" applyBorder="1" applyAlignment="1" applyProtection="1">
      <alignment horizontal="center" vertical="center"/>
    </xf>
    <xf numFmtId="0" fontId="16" fillId="8" borderId="23" xfId="0" applyFont="1" applyFill="1" applyBorder="1" applyAlignment="1" applyProtection="1">
      <alignment horizontal="center" vertical="center"/>
    </xf>
    <xf numFmtId="0" fontId="16" fillId="8" borderId="18" xfId="0" applyFont="1" applyFill="1" applyBorder="1" applyAlignment="1" applyProtection="1">
      <alignment horizontal="center" vertical="center"/>
    </xf>
    <xf numFmtId="0" fontId="16" fillId="8" borderId="17" xfId="0" applyFont="1" applyFill="1" applyBorder="1" applyAlignment="1" applyProtection="1">
      <alignment horizontal="center" vertical="center"/>
    </xf>
    <xf numFmtId="0" fontId="16" fillId="8" borderId="19" xfId="0" applyFont="1" applyFill="1" applyBorder="1" applyAlignment="1" applyProtection="1">
      <alignment horizontal="center" vertical="center"/>
    </xf>
    <xf numFmtId="0" fontId="12" fillId="6" borderId="7" xfId="0" applyFont="1" applyFill="1" applyBorder="1" applyAlignment="1" applyProtection="1">
      <alignment horizontal="center"/>
    </xf>
    <xf numFmtId="0" fontId="12" fillId="6" borderId="0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 wrapText="1"/>
    </xf>
    <xf numFmtId="0" fontId="4" fillId="6" borderId="19" xfId="0" applyFont="1" applyFill="1" applyBorder="1" applyAlignment="1" applyProtection="1">
      <alignment horizontal="center" wrapText="1"/>
    </xf>
    <xf numFmtId="0" fontId="17" fillId="6" borderId="5" xfId="0" applyFont="1" applyFill="1" applyBorder="1" applyAlignment="1" applyProtection="1">
      <alignment horizontal="center"/>
    </xf>
    <xf numFmtId="0" fontId="17" fillId="6" borderId="6" xfId="0" applyFont="1" applyFill="1" applyBorder="1" applyAlignment="1" applyProtection="1">
      <alignment horizontal="center"/>
    </xf>
    <xf numFmtId="0" fontId="17" fillId="6" borderId="2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0" fillId="0" borderId="44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6" fillId="8" borderId="32" xfId="0" applyFont="1" applyFill="1" applyBorder="1" applyAlignment="1" applyProtection="1">
      <alignment horizontal="center" vertical="center" wrapText="1"/>
      <protection locked="0"/>
    </xf>
    <xf numFmtId="0" fontId="1" fillId="8" borderId="16" xfId="0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 applyProtection="1">
      <alignment horizontal="center" vertical="center" wrapText="1"/>
      <protection locked="0"/>
    </xf>
    <xf numFmtId="0" fontId="1" fillId="8" borderId="29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20" xfId="0" applyFont="1" applyFill="1" applyBorder="1" applyAlignment="1" applyProtection="1">
      <alignment horizontal="center" vertical="center" wrapText="1"/>
      <protection locked="0"/>
    </xf>
    <xf numFmtId="0" fontId="1" fillId="8" borderId="30" xfId="0" applyFont="1" applyFill="1" applyBorder="1" applyAlignment="1" applyProtection="1">
      <alignment horizontal="center" vertical="center" wrapText="1"/>
      <protection locked="0"/>
    </xf>
    <xf numFmtId="0" fontId="1" fillId="8" borderId="17" xfId="0" applyFont="1" applyFill="1" applyBorder="1" applyAlignment="1" applyProtection="1">
      <alignment horizontal="center" vertical="center" wrapText="1"/>
      <protection locked="0"/>
    </xf>
    <xf numFmtId="0" fontId="1" fillId="8" borderId="21" xfId="0" applyFont="1" applyFill="1" applyBorder="1" applyAlignment="1" applyProtection="1">
      <alignment horizontal="center" vertical="center" wrapText="1"/>
      <protection locked="0"/>
    </xf>
    <xf numFmtId="0" fontId="19" fillId="5" borderId="6" xfId="0" applyFont="1" applyFill="1" applyBorder="1" applyAlignment="1" applyProtection="1">
      <alignment horizontal="center"/>
      <protection locked="0"/>
    </xf>
    <xf numFmtId="0" fontId="19" fillId="5" borderId="43" xfId="0" applyFont="1" applyFill="1" applyBorder="1" applyAlignment="1" applyProtection="1">
      <alignment horizontal="center"/>
      <protection locked="0"/>
    </xf>
    <xf numFmtId="0" fontId="25" fillId="3" borderId="0" xfId="0" applyFont="1" applyFill="1" applyAlignment="1" applyProtection="1">
      <alignment horizontal="center" vertical="center" wrapText="1"/>
      <protection locked="0"/>
    </xf>
    <xf numFmtId="0" fontId="17" fillId="8" borderId="5" xfId="0" applyFont="1" applyFill="1" applyBorder="1" applyAlignment="1" applyProtection="1">
      <alignment horizontal="center"/>
    </xf>
    <xf numFmtId="0" fontId="17" fillId="8" borderId="6" xfId="0" applyFont="1" applyFill="1" applyBorder="1" applyAlignment="1" applyProtection="1">
      <alignment horizontal="center"/>
    </xf>
    <xf numFmtId="0" fontId="17" fillId="8" borderId="23" xfId="0" applyFont="1" applyFill="1" applyBorder="1" applyAlignment="1" applyProtection="1">
      <alignment horizontal="center"/>
    </xf>
    <xf numFmtId="0" fontId="16" fillId="8" borderId="5" xfId="0" applyFont="1" applyFill="1" applyBorder="1" applyAlignment="1" applyProtection="1">
      <alignment horizontal="center"/>
    </xf>
    <xf numFmtId="0" fontId="16" fillId="8" borderId="6" xfId="0" applyFont="1" applyFill="1" applyBorder="1" applyAlignment="1" applyProtection="1">
      <alignment horizontal="center"/>
    </xf>
    <xf numFmtId="0" fontId="4" fillId="8" borderId="23" xfId="0" applyFont="1" applyFill="1" applyBorder="1" applyAlignment="1" applyProtection="1">
      <alignment horizontal="center" vertical="center" wrapText="1"/>
    </xf>
    <xf numFmtId="0" fontId="4" fillId="8" borderId="8" xfId="0" applyFont="1" applyFill="1" applyBorder="1" applyAlignment="1" applyProtection="1">
      <alignment horizontal="center" vertical="center" wrapText="1"/>
    </xf>
    <xf numFmtId="0" fontId="12" fillId="8" borderId="7" xfId="0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/>
      <protection locked="0"/>
    </xf>
    <xf numFmtId="0" fontId="13" fillId="5" borderId="25" xfId="0" applyFont="1" applyFill="1" applyBorder="1" applyAlignment="1" applyProtection="1">
      <alignment horizontal="center" vertical="center" wrapText="1"/>
      <protection locked="0"/>
    </xf>
    <xf numFmtId="0" fontId="13" fillId="5" borderId="26" xfId="0" applyFont="1" applyFill="1" applyBorder="1" applyAlignment="1" applyProtection="1">
      <alignment horizontal="center" vertical="center" wrapText="1"/>
      <protection locked="0"/>
    </xf>
  </cellXfs>
  <cellStyles count="2">
    <cellStyle name="Hyperlänk" xfId="1" builtinId="8"/>
    <cellStyle name="Normal" xfId="0" builtinId="0"/>
  </cellStyles>
  <dxfs count="1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83821</xdr:colOff>
      <xdr:row>2</xdr:row>
      <xdr:rowOff>213360</xdr:rowOff>
    </xdr:from>
    <xdr:to>
      <xdr:col>20</xdr:col>
      <xdr:colOff>106680</xdr:colOff>
      <xdr:row>3</xdr:row>
      <xdr:rowOff>209550</xdr:rowOff>
    </xdr:to>
    <xdr:sp macro="" textlink="">
      <xdr:nvSpPr>
        <xdr:cNvPr id="2" name="Vänsterpil 1"/>
        <xdr:cNvSpPr/>
      </xdr:nvSpPr>
      <xdr:spPr>
        <a:xfrm>
          <a:off x="21214081" y="1394460"/>
          <a:ext cx="601979" cy="339090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19</xdr:col>
      <xdr:colOff>104353</xdr:colOff>
      <xdr:row>35</xdr:row>
      <xdr:rowOff>259079</xdr:rowOff>
    </xdr:from>
    <xdr:to>
      <xdr:col>20</xdr:col>
      <xdr:colOff>106680</xdr:colOff>
      <xdr:row>36</xdr:row>
      <xdr:rowOff>241934</xdr:rowOff>
    </xdr:to>
    <xdr:sp macro="" textlink="">
      <xdr:nvSpPr>
        <xdr:cNvPr id="3" name="Vänsterpil 2"/>
        <xdr:cNvSpPr/>
      </xdr:nvSpPr>
      <xdr:spPr>
        <a:xfrm>
          <a:off x="21234613" y="12534899"/>
          <a:ext cx="581447" cy="3333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19</xdr:col>
      <xdr:colOff>49531</xdr:colOff>
      <xdr:row>8</xdr:row>
      <xdr:rowOff>167639</xdr:rowOff>
    </xdr:from>
    <xdr:to>
      <xdr:col>20</xdr:col>
      <xdr:colOff>114300</xdr:colOff>
      <xdr:row>9</xdr:row>
      <xdr:rowOff>207646</xdr:rowOff>
    </xdr:to>
    <xdr:sp macro="" textlink="">
      <xdr:nvSpPr>
        <xdr:cNvPr id="4" name="Vänsterpil 3"/>
        <xdr:cNvSpPr/>
      </xdr:nvSpPr>
      <xdr:spPr>
        <a:xfrm>
          <a:off x="21179791" y="3291839"/>
          <a:ext cx="643889" cy="390527"/>
        </a:xfrm>
        <a:prstGeom prst="lef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10</xdr:col>
      <xdr:colOff>390525</xdr:colOff>
      <xdr:row>1</xdr:row>
      <xdr:rowOff>133350</xdr:rowOff>
    </xdr:from>
    <xdr:to>
      <xdr:col>12</xdr:col>
      <xdr:colOff>1257300</xdr:colOff>
      <xdr:row>3</xdr:row>
      <xdr:rowOff>85725</xdr:rowOff>
    </xdr:to>
    <xdr:sp macro="" textlink="">
      <xdr:nvSpPr>
        <xdr:cNvPr id="5" name="Rektangulär bildtext 4"/>
        <xdr:cNvSpPr/>
      </xdr:nvSpPr>
      <xdr:spPr>
        <a:xfrm>
          <a:off x="11582400" y="723900"/>
          <a:ext cx="2209800" cy="895350"/>
        </a:xfrm>
        <a:prstGeom prst="wedge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200"/>
            <a:t>Starta här med att sätta X (kolumn L) välj sedan vilket huvudområde</a:t>
          </a:r>
          <a:r>
            <a:rPr lang="sv-SE" sz="1200" baseline="0"/>
            <a:t> kursen ska räknas in i (kolumn M)</a:t>
          </a:r>
          <a:endParaRPr lang="sv-SE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209550</xdr:colOff>
      <xdr:row>22</xdr:row>
      <xdr:rowOff>173832</xdr:rowOff>
    </xdr:from>
    <xdr:to>
      <xdr:col>19</xdr:col>
      <xdr:colOff>314325</xdr:colOff>
      <xdr:row>24</xdr:row>
      <xdr:rowOff>19050</xdr:rowOff>
    </xdr:to>
    <xdr:sp macro="" textlink="">
      <xdr:nvSpPr>
        <xdr:cNvPr id="2" name="Vänsterpil 1"/>
        <xdr:cNvSpPr/>
      </xdr:nvSpPr>
      <xdr:spPr>
        <a:xfrm>
          <a:off x="20393025" y="6488907"/>
          <a:ext cx="714375" cy="378618"/>
        </a:xfrm>
        <a:prstGeom prst="leftArrow">
          <a:avLst>
            <a:gd name="adj1" fmla="val 50000"/>
            <a:gd name="adj2" fmla="val 49379"/>
          </a:avLst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220287</xdr:colOff>
      <xdr:row>25</xdr:row>
      <xdr:rowOff>134033</xdr:rowOff>
    </xdr:to>
    <xdr:pic>
      <xdr:nvPicPr>
        <xdr:cNvPr id="6" name="Bildobjekt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88012" cy="48965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142875</xdr:rowOff>
    </xdr:from>
    <xdr:to>
      <xdr:col>12</xdr:col>
      <xdr:colOff>201235</xdr:colOff>
      <xdr:row>56</xdr:row>
      <xdr:rowOff>57962</xdr:rowOff>
    </xdr:to>
    <xdr:pic>
      <xdr:nvPicPr>
        <xdr:cNvPr id="7" name="Bildobjekt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905375"/>
          <a:ext cx="8668960" cy="5820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38100</xdr:rowOff>
    </xdr:from>
    <xdr:to>
      <xdr:col>12</xdr:col>
      <xdr:colOff>201235</xdr:colOff>
      <xdr:row>69</xdr:row>
      <xdr:rowOff>95604</xdr:rowOff>
    </xdr:to>
    <xdr:pic>
      <xdr:nvPicPr>
        <xdr:cNvPr id="8" name="Bildobjekt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706100"/>
          <a:ext cx="8668960" cy="25340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104775</xdr:rowOff>
    </xdr:from>
    <xdr:to>
      <xdr:col>12</xdr:col>
      <xdr:colOff>172656</xdr:colOff>
      <xdr:row>78</xdr:row>
      <xdr:rowOff>152673</xdr:rowOff>
    </xdr:to>
    <xdr:pic>
      <xdr:nvPicPr>
        <xdr:cNvPr id="9" name="Bildobjekt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3058775"/>
          <a:ext cx="8640381" cy="19528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95250</xdr:rowOff>
    </xdr:from>
    <xdr:to>
      <xdr:col>12</xdr:col>
      <xdr:colOff>172656</xdr:colOff>
      <xdr:row>85</xdr:row>
      <xdr:rowOff>171647</xdr:rowOff>
    </xdr:to>
    <xdr:pic>
      <xdr:nvPicPr>
        <xdr:cNvPr id="10" name="Bildobjekt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954250"/>
          <a:ext cx="8640381" cy="1409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udent.slu.se/en/studies/courses-and-programmes/bachelors-programmes/forest-and-landscap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>
      <selection activeCell="I25" sqref="I25"/>
    </sheetView>
  </sheetViews>
  <sheetFormatPr defaultColWidth="9.140625" defaultRowHeight="15" x14ac:dyDescent="0.25"/>
  <cols>
    <col min="1" max="1" width="5" style="225" customWidth="1"/>
    <col min="2" max="2" width="3.140625" style="225" customWidth="1"/>
    <col min="3" max="8" width="9.140625" style="225"/>
    <col min="9" max="9" width="17" style="225" customWidth="1"/>
    <col min="10" max="16384" width="9.140625" style="225"/>
  </cols>
  <sheetData>
    <row r="2" spans="2:9" s="221" customFormat="1" ht="26.25" x14ac:dyDescent="0.4">
      <c r="B2" s="240" t="s">
        <v>126</v>
      </c>
      <c r="C2" s="240"/>
      <c r="D2" s="240"/>
      <c r="E2" s="240"/>
      <c r="F2" s="240"/>
      <c r="G2" s="240"/>
      <c r="H2" s="240"/>
      <c r="I2" s="240"/>
    </row>
    <row r="3" spans="2:9" s="221" customFormat="1" ht="18" customHeight="1" x14ac:dyDescent="0.4"/>
    <row r="4" spans="2:9" ht="15.75" x14ac:dyDescent="0.25">
      <c r="B4" s="222"/>
      <c r="C4" s="223"/>
      <c r="D4" s="223"/>
      <c r="E4" s="223"/>
      <c r="F4" s="223"/>
      <c r="G4" s="223"/>
      <c r="H4" s="223"/>
      <c r="I4" s="224"/>
    </row>
    <row r="5" spans="2:9" ht="32.450000000000003" customHeight="1" x14ac:dyDescent="0.25">
      <c r="B5" s="226"/>
      <c r="C5" s="238" t="s">
        <v>131</v>
      </c>
      <c r="D5" s="238"/>
      <c r="E5" s="238"/>
      <c r="F5" s="238"/>
      <c r="G5" s="238"/>
      <c r="H5" s="238"/>
      <c r="I5" s="239"/>
    </row>
    <row r="6" spans="2:9" ht="81" customHeight="1" x14ac:dyDescent="0.25">
      <c r="B6" s="226"/>
      <c r="C6" s="238" t="s">
        <v>129</v>
      </c>
      <c r="D6" s="238"/>
      <c r="E6" s="238"/>
      <c r="F6" s="238"/>
      <c r="G6" s="238"/>
      <c r="H6" s="238"/>
      <c r="I6" s="239"/>
    </row>
    <row r="7" spans="2:9" ht="13.5" customHeight="1" x14ac:dyDescent="0.25">
      <c r="B7" s="226"/>
      <c r="C7" s="227"/>
      <c r="D7" s="227"/>
      <c r="E7" s="227"/>
      <c r="F7" s="227"/>
      <c r="G7" s="227"/>
      <c r="H7" s="227"/>
      <c r="I7" s="228"/>
    </row>
    <row r="8" spans="2:9" ht="29.25" customHeight="1" x14ac:dyDescent="0.25">
      <c r="B8" s="226"/>
      <c r="C8" s="229" t="s">
        <v>127</v>
      </c>
      <c r="D8" s="230"/>
      <c r="E8" s="230"/>
      <c r="F8" s="230"/>
      <c r="G8" s="230"/>
      <c r="H8" s="231"/>
      <c r="I8" s="232"/>
    </row>
    <row r="9" spans="2:9" ht="15.75" x14ac:dyDescent="0.25">
      <c r="B9" s="226"/>
      <c r="C9" s="231" t="s">
        <v>128</v>
      </c>
      <c r="D9" s="231"/>
      <c r="E9" s="231"/>
      <c r="F9" s="231"/>
      <c r="G9" s="231"/>
      <c r="H9" s="231"/>
      <c r="I9" s="232"/>
    </row>
    <row r="10" spans="2:9" ht="15" customHeight="1" x14ac:dyDescent="0.25">
      <c r="B10" s="226"/>
      <c r="C10" s="231"/>
      <c r="D10" s="231"/>
      <c r="E10" s="231"/>
      <c r="F10" s="231"/>
      <c r="G10" s="231"/>
      <c r="H10" s="231"/>
      <c r="I10" s="232"/>
    </row>
    <row r="11" spans="2:9" ht="76.5" customHeight="1" x14ac:dyDescent="0.25">
      <c r="B11" s="226"/>
      <c r="C11" s="238" t="s">
        <v>130</v>
      </c>
      <c r="D11" s="238"/>
      <c r="E11" s="238"/>
      <c r="F11" s="238"/>
      <c r="G11" s="238"/>
      <c r="H11" s="238"/>
      <c r="I11" s="239"/>
    </row>
    <row r="12" spans="2:9" ht="4.9000000000000004" customHeight="1" x14ac:dyDescent="0.25">
      <c r="B12" s="226"/>
      <c r="C12" s="234" t="s">
        <v>132</v>
      </c>
      <c r="D12" s="234"/>
      <c r="E12" s="234"/>
      <c r="F12" s="234"/>
      <c r="G12" s="234"/>
      <c r="H12" s="234"/>
      <c r="I12" s="235"/>
    </row>
    <row r="13" spans="2:9" x14ac:dyDescent="0.25">
      <c r="B13" s="233"/>
      <c r="C13" s="236"/>
      <c r="D13" s="236"/>
      <c r="E13" s="236"/>
      <c r="F13" s="236"/>
      <c r="G13" s="236"/>
      <c r="H13" s="236"/>
      <c r="I13" s="237"/>
    </row>
  </sheetData>
  <mergeCells count="5">
    <mergeCell ref="C12:I13"/>
    <mergeCell ref="C6:I6"/>
    <mergeCell ref="B2:I2"/>
    <mergeCell ref="C5:I5"/>
    <mergeCell ref="C11:I11"/>
  </mergeCells>
  <hyperlinks>
    <hyperlink ref="C12:I13" r:id="rId1" display="Länk till programsidan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1"/>
  <sheetViews>
    <sheetView showGridLines="0" tabSelected="1" zoomScaleNormal="100" workbookViewId="0">
      <selection activeCell="H23" sqref="H23"/>
    </sheetView>
  </sheetViews>
  <sheetFormatPr defaultColWidth="9.140625" defaultRowHeight="17.25" customHeight="1" x14ac:dyDescent="0.25"/>
  <cols>
    <col min="1" max="1" width="3.28515625" style="4" customWidth="1"/>
    <col min="2" max="2" width="9.140625" style="4"/>
    <col min="3" max="3" width="50" style="5" customWidth="1"/>
    <col min="4" max="4" width="6" style="5" customWidth="1"/>
    <col min="5" max="5" width="7.28515625" style="5" customWidth="1"/>
    <col min="6" max="6" width="23.5703125" style="5" customWidth="1"/>
    <col min="7" max="7" width="21.42578125" style="5" customWidth="1"/>
    <col min="8" max="8" width="15.140625" style="5" customWidth="1"/>
    <col min="9" max="9" width="14.140625" style="5" customWidth="1"/>
    <col min="10" max="10" width="13.28515625" style="5" customWidth="1"/>
    <col min="11" max="11" width="9.85546875" style="5" customWidth="1"/>
    <col min="12" max="12" width="10.28515625" style="5" customWidth="1"/>
    <col min="13" max="13" width="24.140625" style="5" customWidth="1"/>
    <col min="14" max="14" width="2.28515625" style="4" customWidth="1"/>
    <col min="15" max="15" width="28.42578125" style="5" customWidth="1"/>
    <col min="16" max="16" width="16" style="5" customWidth="1"/>
    <col min="17" max="17" width="14.7109375" style="5" customWidth="1"/>
    <col min="18" max="18" width="19.28515625" style="5" customWidth="1"/>
    <col min="19" max="19" width="19.7109375" style="5" customWidth="1"/>
    <col min="20" max="20" width="8.42578125" style="5" customWidth="1"/>
    <col min="21" max="21" width="3.5703125" style="5" customWidth="1"/>
    <col min="22" max="16384" width="9.140625" style="5"/>
  </cols>
  <sheetData>
    <row r="1" spans="2:48" ht="46.5" customHeight="1" thickBot="1" x14ac:dyDescent="0.3">
      <c r="B1" s="241" t="s">
        <v>106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2:48" ht="47.25" customHeight="1" x14ac:dyDescent="0.35">
      <c r="B2" s="275" t="s">
        <v>79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7"/>
      <c r="N2" s="6"/>
      <c r="O2" s="293" t="s">
        <v>107</v>
      </c>
      <c r="P2" s="294"/>
      <c r="Q2" s="294"/>
      <c r="R2" s="294"/>
      <c r="S2" s="295"/>
      <c r="T2" s="6"/>
      <c r="U2" s="6"/>
      <c r="V2" s="6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2:48" ht="27" customHeight="1" x14ac:dyDescent="0.35">
      <c r="B3" s="278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80"/>
      <c r="O3" s="296" t="s">
        <v>60</v>
      </c>
      <c r="P3" s="297"/>
      <c r="Q3" s="297"/>
      <c r="R3" s="297"/>
      <c r="S3" s="304" t="s">
        <v>54</v>
      </c>
      <c r="T3" s="4"/>
      <c r="U3" s="4"/>
      <c r="V3" s="284" t="s">
        <v>102</v>
      </c>
      <c r="W3" s="285"/>
      <c r="X3" s="286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8" ht="21" customHeight="1" thickBot="1" x14ac:dyDescent="0.35"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  <c r="O4" s="72" t="s">
        <v>38</v>
      </c>
      <c r="P4" s="73"/>
      <c r="Q4" s="74" t="s">
        <v>1</v>
      </c>
      <c r="R4" s="74" t="s">
        <v>14</v>
      </c>
      <c r="S4" s="304"/>
      <c r="T4" s="4"/>
      <c r="U4" s="4"/>
      <c r="V4" s="287"/>
      <c r="W4" s="288"/>
      <c r="X4" s="289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48" ht="24.75" customHeight="1" x14ac:dyDescent="0.25">
      <c r="B5" s="125"/>
      <c r="C5" s="9"/>
      <c r="D5" s="9"/>
      <c r="E5" s="9"/>
      <c r="F5" s="263" t="s">
        <v>36</v>
      </c>
      <c r="G5" s="265" t="s">
        <v>37</v>
      </c>
      <c r="H5" s="267" t="s">
        <v>51</v>
      </c>
      <c r="I5" s="268"/>
      <c r="J5" s="269"/>
      <c r="K5" s="270" t="s">
        <v>52</v>
      </c>
      <c r="L5" s="270" t="s">
        <v>63</v>
      </c>
      <c r="M5" s="272" t="s">
        <v>16</v>
      </c>
      <c r="O5" s="75" t="s">
        <v>69</v>
      </c>
      <c r="P5" s="76"/>
      <c r="Q5" s="77">
        <f>SUMIFS(D8:D36,L8:L36,"x")</f>
        <v>0</v>
      </c>
      <c r="R5" s="77">
        <v>180</v>
      </c>
      <c r="S5" s="78">
        <f>IF((R5-Q5)&lt;0,0,SUM(R5-Q5))</f>
        <v>180</v>
      </c>
      <c r="T5" s="7"/>
      <c r="U5" s="7"/>
      <c r="V5" s="287"/>
      <c r="W5" s="288"/>
      <c r="X5" s="289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2:48" ht="31.5" customHeight="1" x14ac:dyDescent="0.25">
      <c r="B6" s="8" t="s">
        <v>44</v>
      </c>
      <c r="C6" s="9" t="s">
        <v>0</v>
      </c>
      <c r="D6" s="9" t="s">
        <v>3</v>
      </c>
      <c r="E6" s="9" t="s">
        <v>15</v>
      </c>
      <c r="F6" s="263"/>
      <c r="G6" s="265"/>
      <c r="H6" s="120" t="s">
        <v>50</v>
      </c>
      <c r="I6" s="194" t="s">
        <v>6</v>
      </c>
      <c r="J6" s="194" t="s">
        <v>104</v>
      </c>
      <c r="K6" s="270"/>
      <c r="L6" s="270"/>
      <c r="M6" s="272"/>
      <c r="O6" s="79" t="s">
        <v>64</v>
      </c>
      <c r="P6" s="76"/>
      <c r="Q6" s="80">
        <f>SUMIFS(D8:D36,M8:M36,"Skogsbruksvetenskap",E8:E36,"G1N",L8:L36,"x")+SUMIFS(D8:D36,M8:M36,"Skogsbruksvetenskap",E8:E36,"G1F",L8:L36,"x")+SUMIFS(D8:D36,M8:M36,"Skogsbruksvetenskap",E8:E36,"G2F",L8:L36,"X")</f>
        <v>0</v>
      </c>
      <c r="R6" s="80">
        <v>75</v>
      </c>
      <c r="S6" s="78">
        <f t="shared" ref="S6" si="0">IF((R6-Q6)&lt;0,0,SUM(R6-Q6))</f>
        <v>75</v>
      </c>
      <c r="T6" s="7"/>
      <c r="U6" s="7"/>
      <c r="V6" s="287"/>
      <c r="W6" s="288"/>
      <c r="X6" s="289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2:48" ht="21.75" customHeight="1" x14ac:dyDescent="0.25">
      <c r="B7" s="10"/>
      <c r="C7" s="11" t="s">
        <v>72</v>
      </c>
      <c r="D7" s="11"/>
      <c r="E7" s="11"/>
      <c r="F7" s="12"/>
      <c r="G7" s="12"/>
      <c r="H7" s="12"/>
      <c r="I7" s="13"/>
      <c r="J7" s="14"/>
      <c r="K7" s="14"/>
      <c r="L7" s="14"/>
      <c r="M7" s="15"/>
      <c r="O7" s="79" t="s">
        <v>65</v>
      </c>
      <c r="P7" s="76"/>
      <c r="Q7" s="80">
        <f>SUMIFS(D8:D36,M8:M36,"Skogsbruksvetenskap",E8:E36,"G2F",L8:L36,"x")</f>
        <v>0</v>
      </c>
      <c r="R7" s="80">
        <v>15</v>
      </c>
      <c r="S7" s="78">
        <f>IF((R7-Q7)&lt;0,0,SUM(R7-Q7))</f>
        <v>15</v>
      </c>
      <c r="T7" s="7"/>
      <c r="U7" s="7"/>
      <c r="V7" s="287"/>
      <c r="W7" s="288"/>
      <c r="X7" s="289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2:48" ht="27.75" customHeight="1" x14ac:dyDescent="0.25">
      <c r="B8" s="58" t="s">
        <v>80</v>
      </c>
      <c r="C8" s="59" t="s">
        <v>100</v>
      </c>
      <c r="D8" s="60">
        <v>15</v>
      </c>
      <c r="E8" s="60" t="s">
        <v>20</v>
      </c>
      <c r="F8" s="61" t="s">
        <v>5</v>
      </c>
      <c r="G8" s="60" t="s">
        <v>4</v>
      </c>
      <c r="H8" s="60"/>
      <c r="I8" s="60">
        <v>15</v>
      </c>
      <c r="J8" s="60"/>
      <c r="K8" s="60"/>
      <c r="L8" s="17"/>
      <c r="M8" s="18"/>
      <c r="N8" s="19"/>
      <c r="O8" s="79" t="s">
        <v>61</v>
      </c>
      <c r="P8" s="81"/>
      <c r="Q8" s="80">
        <f>SUMIFS(D8:D50,M8:M50,"Skogsbruksvetenskap",E8:E50,"G2E",L8:L50,"X")</f>
        <v>0</v>
      </c>
      <c r="R8" s="82">
        <v>15</v>
      </c>
      <c r="S8" s="78">
        <f>IF((R8-Q8)&lt;0,0,SUM(R8-Q8))</f>
        <v>15</v>
      </c>
      <c r="T8" s="203">
        <f>SUM(S5:S8)</f>
        <v>285</v>
      </c>
      <c r="U8" s="19"/>
      <c r="V8" s="287"/>
      <c r="W8" s="288"/>
      <c r="X8" s="289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2:48" ht="27.75" customHeight="1" x14ac:dyDescent="0.25">
      <c r="B9" s="58" t="s">
        <v>115</v>
      </c>
      <c r="C9" s="62" t="s">
        <v>101</v>
      </c>
      <c r="D9" s="63">
        <v>15</v>
      </c>
      <c r="E9" s="63" t="s">
        <v>20</v>
      </c>
      <c r="F9" s="64" t="s">
        <v>26</v>
      </c>
      <c r="G9" s="63"/>
      <c r="H9" s="63"/>
      <c r="I9" s="63"/>
      <c r="J9" s="63"/>
      <c r="K9" s="63"/>
      <c r="L9" s="31"/>
      <c r="M9" s="18"/>
      <c r="O9" s="83" t="s">
        <v>96</v>
      </c>
      <c r="P9" s="84"/>
      <c r="Q9" s="84"/>
      <c r="R9" s="84"/>
      <c r="S9" s="304" t="s">
        <v>54</v>
      </c>
      <c r="T9" s="20"/>
      <c r="U9" s="19"/>
      <c r="V9" s="287"/>
      <c r="W9" s="288"/>
      <c r="X9" s="289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2:48" ht="27.75" customHeight="1" x14ac:dyDescent="0.3">
      <c r="B10" s="58" t="s">
        <v>81</v>
      </c>
      <c r="C10" s="62" t="s">
        <v>45</v>
      </c>
      <c r="D10" s="63">
        <v>15</v>
      </c>
      <c r="E10" s="63" t="s">
        <v>20</v>
      </c>
      <c r="F10" s="64" t="s">
        <v>5</v>
      </c>
      <c r="G10" s="63" t="s">
        <v>4</v>
      </c>
      <c r="H10" s="63"/>
      <c r="I10" s="63">
        <v>15</v>
      </c>
      <c r="J10" s="63"/>
      <c r="K10" s="63">
        <v>15</v>
      </c>
      <c r="L10" s="31"/>
      <c r="M10" s="18"/>
      <c r="O10" s="85" t="s">
        <v>38</v>
      </c>
      <c r="P10" s="86"/>
      <c r="Q10" s="86" t="s">
        <v>1</v>
      </c>
      <c r="R10" s="205" t="s">
        <v>14</v>
      </c>
      <c r="S10" s="304"/>
      <c r="T10" s="20"/>
      <c r="U10" s="19"/>
      <c r="V10" s="287"/>
      <c r="W10" s="288"/>
      <c r="X10" s="289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2:48" ht="24.75" customHeight="1" x14ac:dyDescent="0.25">
      <c r="B11" s="58" t="s">
        <v>82</v>
      </c>
      <c r="C11" s="62" t="s">
        <v>46</v>
      </c>
      <c r="D11" s="63">
        <v>15</v>
      </c>
      <c r="E11" s="63" t="s">
        <v>21</v>
      </c>
      <c r="F11" s="64" t="s">
        <v>4</v>
      </c>
      <c r="G11" s="63"/>
      <c r="H11" s="63">
        <v>2.5</v>
      </c>
      <c r="I11" s="63">
        <v>10</v>
      </c>
      <c r="J11" s="63">
        <v>2.5</v>
      </c>
      <c r="K11" s="63"/>
      <c r="L11" s="31"/>
      <c r="M11" s="18"/>
      <c r="O11" s="75" t="s">
        <v>70</v>
      </c>
      <c r="P11" s="87"/>
      <c r="Q11" s="88">
        <f>SUMIFS(D8:D36,L8:L36,"X")</f>
        <v>0</v>
      </c>
      <c r="R11" s="88">
        <v>180</v>
      </c>
      <c r="S11" s="89">
        <f>IF((R11-Q11)&lt;0,0,SUM(R11-Q11))</f>
        <v>180</v>
      </c>
      <c r="T11" s="20"/>
      <c r="U11" s="19"/>
      <c r="V11" s="290"/>
      <c r="W11" s="291"/>
      <c r="X11" s="292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2:48" ht="27.75" customHeight="1" x14ac:dyDescent="0.25">
      <c r="B12" s="147"/>
      <c r="C12" s="148" t="s">
        <v>73</v>
      </c>
      <c r="D12" s="149"/>
      <c r="E12" s="149"/>
      <c r="F12" s="150"/>
      <c r="G12" s="149"/>
      <c r="H12" s="149"/>
      <c r="I12" s="149"/>
      <c r="J12" s="149"/>
      <c r="K12" s="149"/>
      <c r="L12" s="136"/>
      <c r="M12" s="137"/>
      <c r="O12" s="79" t="s">
        <v>97</v>
      </c>
      <c r="P12" s="87"/>
      <c r="Q12" s="90">
        <f>SUMIFS(D8:D36,M8:M36,"Landskapsarkitektur",E8:E36,"G1N",L8:L36,"X")+SUMIFS(D8:D36,M8:M36,"Landskapsarkitektur",E8:E36,"G1F",L8:L36,"X")+SUMIFS(D8:D36,M8:M36,"Landskapsarkitektur",E8:E36,"G2F",L8:L36,"X")</f>
        <v>0</v>
      </c>
      <c r="R12" s="90">
        <v>75</v>
      </c>
      <c r="S12" s="89">
        <f>IF((R12-Q12)&lt;0,0,SUM(R12-Q12))</f>
        <v>75</v>
      </c>
      <c r="T12" s="20"/>
      <c r="U12" s="19"/>
      <c r="V12" s="19"/>
      <c r="W12" s="23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2:48" ht="27.75" customHeight="1" x14ac:dyDescent="0.25">
      <c r="B13" s="58" t="s">
        <v>84</v>
      </c>
      <c r="C13" s="151" t="s">
        <v>83</v>
      </c>
      <c r="D13" s="65">
        <v>7.5</v>
      </c>
      <c r="E13" s="65" t="s">
        <v>21</v>
      </c>
      <c r="F13" s="66" t="s">
        <v>26</v>
      </c>
      <c r="G13" s="65"/>
      <c r="H13" s="65"/>
      <c r="I13" s="65"/>
      <c r="J13" s="65"/>
      <c r="K13" s="65"/>
      <c r="L13" s="121"/>
      <c r="M13" s="24"/>
      <c r="O13" s="79" t="s">
        <v>65</v>
      </c>
      <c r="P13" s="87"/>
      <c r="Q13" s="90">
        <f>SUMIFS(D8:D36,M8:M36,"Landskapsarkitektur",E8:E36,"G2F",L8:L36,"X")</f>
        <v>0</v>
      </c>
      <c r="R13" s="90">
        <v>15</v>
      </c>
      <c r="S13" s="89">
        <f>IF((R13-Q13)&lt;0,0,SUM(R13-Q13))</f>
        <v>15</v>
      </c>
      <c r="T13" s="20"/>
      <c r="U13" s="19"/>
      <c r="V13" s="19"/>
      <c r="W13" s="23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2:48" ht="27.75" customHeight="1" thickBot="1" x14ac:dyDescent="0.3">
      <c r="B14" s="58" t="s">
        <v>85</v>
      </c>
      <c r="C14" s="70" t="s">
        <v>86</v>
      </c>
      <c r="D14" s="63">
        <v>7.5</v>
      </c>
      <c r="E14" s="63" t="s">
        <v>21</v>
      </c>
      <c r="F14" s="64" t="s">
        <v>26</v>
      </c>
      <c r="G14" s="152"/>
      <c r="H14" s="152"/>
      <c r="I14" s="152"/>
      <c r="J14" s="152"/>
      <c r="K14" s="152"/>
      <c r="L14" s="47"/>
      <c r="M14" s="24"/>
      <c r="O14" s="91" t="s">
        <v>98</v>
      </c>
      <c r="P14" s="92"/>
      <c r="Q14" s="93">
        <f>SUMIFS(D8:D36,M8:M36,"Landskapsarkitektur",E8:E36,"G2E",L8:L36,"x")</f>
        <v>0</v>
      </c>
      <c r="R14" s="93">
        <v>15</v>
      </c>
      <c r="S14" s="158">
        <f t="shared" ref="S14" si="1">IF((R14-11)&lt;0,0,SUM(R14-Q14))</f>
        <v>15</v>
      </c>
      <c r="T14" s="202">
        <f>SUM(S11:S14)</f>
        <v>285</v>
      </c>
      <c r="U14" s="57">
        <f>SUM(Q12+Q14)</f>
        <v>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2:48" ht="27.75" customHeight="1" thickBot="1" x14ac:dyDescent="0.3">
      <c r="B15" s="153" t="s">
        <v>87</v>
      </c>
      <c r="C15" s="71" t="s">
        <v>47</v>
      </c>
      <c r="D15" s="63">
        <v>7.5</v>
      </c>
      <c r="E15" s="63" t="s">
        <v>21</v>
      </c>
      <c r="F15" s="64" t="s">
        <v>4</v>
      </c>
      <c r="G15" s="63"/>
      <c r="H15" s="63">
        <v>5</v>
      </c>
      <c r="I15" s="63"/>
      <c r="J15" s="63">
        <v>2.5</v>
      </c>
      <c r="K15" s="63"/>
      <c r="L15" s="21"/>
      <c r="M15" s="2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2:48" ht="27.75" customHeight="1" x14ac:dyDescent="0.35">
      <c r="B16" s="58" t="s">
        <v>88</v>
      </c>
      <c r="C16" s="67" t="s">
        <v>48</v>
      </c>
      <c r="D16" s="63">
        <v>7.5</v>
      </c>
      <c r="E16" s="63" t="s">
        <v>21</v>
      </c>
      <c r="F16" s="64" t="s">
        <v>4</v>
      </c>
      <c r="G16" s="63"/>
      <c r="H16" s="63"/>
      <c r="I16" s="63">
        <v>5</v>
      </c>
      <c r="J16" s="63"/>
      <c r="K16" s="63"/>
      <c r="L16" s="31"/>
      <c r="M16" s="24"/>
      <c r="O16" s="315" t="s">
        <v>59</v>
      </c>
      <c r="P16" s="316"/>
      <c r="Q16" s="316"/>
      <c r="R16" s="316"/>
      <c r="S16" s="317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2:46" ht="27.75" customHeight="1" x14ac:dyDescent="0.35">
      <c r="B17" s="58" t="s">
        <v>89</v>
      </c>
      <c r="C17" s="67" t="s">
        <v>90</v>
      </c>
      <c r="D17" s="63">
        <v>15</v>
      </c>
      <c r="E17" s="63" t="s">
        <v>21</v>
      </c>
      <c r="F17" s="64" t="s">
        <v>5</v>
      </c>
      <c r="G17" s="63" t="s">
        <v>26</v>
      </c>
      <c r="H17" s="63"/>
      <c r="I17" s="63"/>
      <c r="J17" s="63"/>
      <c r="K17" s="63"/>
      <c r="L17" s="31"/>
      <c r="M17" s="24"/>
      <c r="O17" s="311" t="s">
        <v>55</v>
      </c>
      <c r="P17" s="312"/>
      <c r="Q17" s="312"/>
      <c r="R17" s="312"/>
      <c r="S17" s="313" t="s">
        <v>54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2:46" ht="27.75" customHeight="1" x14ac:dyDescent="0.3">
      <c r="B18" s="58" t="s">
        <v>116</v>
      </c>
      <c r="C18" s="67" t="s">
        <v>91</v>
      </c>
      <c r="D18" s="63">
        <v>15</v>
      </c>
      <c r="E18" s="63" t="s">
        <v>21</v>
      </c>
      <c r="F18" s="64" t="s">
        <v>26</v>
      </c>
      <c r="G18" s="63"/>
      <c r="H18" s="63"/>
      <c r="I18" s="63"/>
      <c r="J18" s="63"/>
      <c r="K18" s="63"/>
      <c r="L18" s="31"/>
      <c r="M18" s="24"/>
      <c r="O18" s="94" t="s">
        <v>38</v>
      </c>
      <c r="P18" s="95"/>
      <c r="Q18" s="96" t="s">
        <v>1</v>
      </c>
      <c r="R18" s="96" t="s">
        <v>14</v>
      </c>
      <c r="S18" s="31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2:46" ht="27.75" customHeight="1" x14ac:dyDescent="0.25">
      <c r="B19" s="58" t="s">
        <v>66</v>
      </c>
      <c r="C19" s="67" t="s">
        <v>67</v>
      </c>
      <c r="D19" s="63">
        <v>7.5</v>
      </c>
      <c r="E19" s="63" t="s">
        <v>20</v>
      </c>
      <c r="F19" s="64" t="s">
        <v>4</v>
      </c>
      <c r="G19" s="63" t="s">
        <v>5</v>
      </c>
      <c r="H19" s="63">
        <v>2</v>
      </c>
      <c r="I19" s="63">
        <v>4</v>
      </c>
      <c r="J19" s="63">
        <v>1.5</v>
      </c>
      <c r="K19" s="63">
        <v>7.5</v>
      </c>
      <c r="L19" s="31"/>
      <c r="M19" s="24"/>
      <c r="O19" s="113" t="s">
        <v>8</v>
      </c>
      <c r="P19" s="97"/>
      <c r="Q19" s="127">
        <f>SUMIFS(D8:D54,M8:M54,"Skogsbruksvetenskap",L8:L54,"X")</f>
        <v>0</v>
      </c>
      <c r="R19" s="127">
        <v>135</v>
      </c>
      <c r="S19" s="201">
        <f>IF((R19-Q19)&lt;0,0,SUM(R19-Q19))</f>
        <v>135</v>
      </c>
      <c r="T19" s="57"/>
      <c r="U19" s="202">
        <f>IF(S19&lt;=0,R19,Q19)</f>
        <v>0</v>
      </c>
      <c r="V19" s="57"/>
      <c r="W19" s="4"/>
      <c r="X19" s="252"/>
      <c r="Y19" s="252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2:46" ht="27.75" customHeight="1" x14ac:dyDescent="0.25">
      <c r="B20" s="154"/>
      <c r="C20" s="155" t="s">
        <v>92</v>
      </c>
      <c r="D20" s="156"/>
      <c r="E20" s="156"/>
      <c r="F20" s="157"/>
      <c r="G20" s="156"/>
      <c r="H20" s="156"/>
      <c r="I20" s="156"/>
      <c r="J20" s="156"/>
      <c r="K20" s="156"/>
      <c r="L20" s="138"/>
      <c r="M20" s="139"/>
      <c r="O20" s="99" t="s">
        <v>9</v>
      </c>
      <c r="P20" s="100"/>
      <c r="Q20" s="101">
        <f>SUMIFS(H8:H54,L8:L54,"X")</f>
        <v>0</v>
      </c>
      <c r="R20" s="101">
        <v>15</v>
      </c>
      <c r="S20" s="196">
        <f t="shared" ref="S20:S23" si="2">IF((R20-Q20)&lt;0,0,SUM(R20-Q20))</f>
        <v>15</v>
      </c>
      <c r="T20" s="57"/>
      <c r="U20" s="57"/>
      <c r="V20" s="57"/>
      <c r="W20" s="4"/>
      <c r="X20" s="252"/>
      <c r="Y20" s="252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2:46" ht="27.75" customHeight="1" x14ac:dyDescent="0.25">
      <c r="B21" s="69" t="s">
        <v>108</v>
      </c>
      <c r="C21" s="68" t="s">
        <v>93</v>
      </c>
      <c r="D21" s="60">
        <v>15</v>
      </c>
      <c r="E21" s="60" t="s">
        <v>17</v>
      </c>
      <c r="F21" s="61" t="s">
        <v>4</v>
      </c>
      <c r="G21" s="60" t="s">
        <v>26</v>
      </c>
      <c r="H21" s="60">
        <v>6</v>
      </c>
      <c r="I21" s="60">
        <v>5</v>
      </c>
      <c r="J21" s="60">
        <v>4</v>
      </c>
      <c r="K21" s="60"/>
      <c r="L21" s="17"/>
      <c r="M21" s="26"/>
      <c r="O21" s="99" t="s">
        <v>6</v>
      </c>
      <c r="P21" s="100"/>
      <c r="Q21" s="101">
        <f>SUMIFS(I8:I54,L8:L54,"X")</f>
        <v>0</v>
      </c>
      <c r="R21" s="101">
        <v>15</v>
      </c>
      <c r="S21" s="196">
        <f t="shared" si="2"/>
        <v>15</v>
      </c>
      <c r="T21" s="57"/>
      <c r="U21" s="57"/>
      <c r="V21" s="57"/>
      <c r="W21" s="4"/>
      <c r="X21" s="252"/>
      <c r="Y21" s="252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2:46" ht="27.75" customHeight="1" x14ac:dyDescent="0.25">
      <c r="B22" s="58" t="s">
        <v>109</v>
      </c>
      <c r="C22" s="67" t="s">
        <v>110</v>
      </c>
      <c r="D22" s="63">
        <v>15</v>
      </c>
      <c r="E22" s="63" t="s">
        <v>20</v>
      </c>
      <c r="F22" s="64" t="s">
        <v>2</v>
      </c>
      <c r="G22" s="63"/>
      <c r="H22" s="70"/>
      <c r="I22" s="63"/>
      <c r="J22" s="70"/>
      <c r="K22" s="70"/>
      <c r="L22" s="17"/>
      <c r="M22" s="26"/>
      <c r="O22" s="99" t="s">
        <v>7</v>
      </c>
      <c r="P22" s="102"/>
      <c r="Q22" s="101">
        <f>SUMIFS(J8:J54,L8:L54,"X")</f>
        <v>0</v>
      </c>
      <c r="R22" s="103">
        <v>15</v>
      </c>
      <c r="S22" s="196">
        <f t="shared" si="2"/>
        <v>15</v>
      </c>
      <c r="T22" s="57"/>
      <c r="U22" s="57"/>
      <c r="V22" s="57"/>
      <c r="W22" s="4"/>
      <c r="X22" s="252"/>
      <c r="Y22" s="252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2:46" ht="27.75" customHeight="1" x14ac:dyDescent="0.25">
      <c r="B23" s="58" t="s">
        <v>111</v>
      </c>
      <c r="C23" s="67" t="s">
        <v>49</v>
      </c>
      <c r="D23" s="63">
        <v>15</v>
      </c>
      <c r="E23" s="63" t="s">
        <v>17</v>
      </c>
      <c r="F23" s="64" t="s">
        <v>4</v>
      </c>
      <c r="G23" s="63" t="s">
        <v>26</v>
      </c>
      <c r="H23" s="63">
        <v>15</v>
      </c>
      <c r="I23" s="63"/>
      <c r="J23" s="70"/>
      <c r="K23" s="70"/>
      <c r="L23" s="17"/>
      <c r="M23" s="26"/>
      <c r="O23" s="99" t="s">
        <v>41</v>
      </c>
      <c r="P23" s="102"/>
      <c r="Q23" s="103">
        <f>SUMIFS(D8:D54,M8:M54,"Skogsbruksvetenskap",E8:E54,"G2F",L8:L54,"X")</f>
        <v>0</v>
      </c>
      <c r="R23" s="103">
        <v>15</v>
      </c>
      <c r="S23" s="196">
        <f t="shared" si="2"/>
        <v>15</v>
      </c>
      <c r="T23" s="57"/>
      <c r="U23" s="57"/>
      <c r="V23" s="57"/>
      <c r="W23" s="4"/>
      <c r="X23" s="252"/>
      <c r="Y23" s="25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2:46" ht="27.75" customHeight="1" x14ac:dyDescent="0.25">
      <c r="B24" s="58" t="s">
        <v>113</v>
      </c>
      <c r="C24" s="67" t="s">
        <v>94</v>
      </c>
      <c r="D24" s="63">
        <v>15</v>
      </c>
      <c r="E24" s="63" t="s">
        <v>18</v>
      </c>
      <c r="F24" s="64" t="s">
        <v>26</v>
      </c>
      <c r="G24" s="63"/>
      <c r="H24" s="70"/>
      <c r="I24" s="63"/>
      <c r="J24" s="70"/>
      <c r="K24" s="70"/>
      <c r="L24" s="17"/>
      <c r="M24" s="26"/>
      <c r="O24" s="99" t="s">
        <v>40</v>
      </c>
      <c r="P24" s="102"/>
      <c r="Q24" s="103">
        <f>SUMIFS(D8:D54,M8:M54,"Skogsbruksvetenskap",E8:E54,"A1N",L8:L54,"X")+SUMIFS(D8:D54,M8:M54,"Skogsbruksvetenskap",E8:E54,"A1F",L8:L54,"x")</f>
        <v>0</v>
      </c>
      <c r="R24" s="103">
        <v>30</v>
      </c>
      <c r="S24" s="196">
        <f>IF((R24-Q24)&lt;0,0,SUM(R24-Q24))</f>
        <v>30</v>
      </c>
      <c r="T24" s="57"/>
      <c r="U24" s="57"/>
      <c r="V24" s="57"/>
      <c r="W24" s="4"/>
      <c r="X24" s="252"/>
      <c r="Y24" s="252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2:46" ht="27.75" customHeight="1" x14ac:dyDescent="0.25">
      <c r="B25" s="58" t="s">
        <v>112</v>
      </c>
      <c r="C25" s="67" t="s">
        <v>95</v>
      </c>
      <c r="D25" s="63">
        <v>15</v>
      </c>
      <c r="E25" s="63" t="s">
        <v>18</v>
      </c>
      <c r="F25" s="64" t="s">
        <v>4</v>
      </c>
      <c r="G25" s="63"/>
      <c r="H25" s="70"/>
      <c r="I25" s="63"/>
      <c r="J25" s="70"/>
      <c r="K25" s="70"/>
      <c r="L25" s="17"/>
      <c r="M25" s="26"/>
      <c r="O25" s="104" t="s">
        <v>10</v>
      </c>
      <c r="P25" s="105"/>
      <c r="Q25" s="98">
        <f>SUMIFS(D8:D54,M8:M54,"Biologi",L8:L54,"x")</f>
        <v>0</v>
      </c>
      <c r="R25" s="98">
        <v>30</v>
      </c>
      <c r="S25" s="196">
        <f>IF((R25-Q25)&lt;0,0,SUM(R25-Q25))</f>
        <v>30</v>
      </c>
      <c r="T25" s="57"/>
      <c r="U25" s="202">
        <f>IF(S25&lt;=0,R25,Q25)</f>
        <v>0</v>
      </c>
      <c r="V25" s="57"/>
      <c r="W25" s="4"/>
      <c r="X25" s="252"/>
      <c r="Y25" s="252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2:46" ht="35.25" customHeight="1" x14ac:dyDescent="0.25">
      <c r="B26" s="32"/>
      <c r="C26" s="140" t="s">
        <v>78</v>
      </c>
      <c r="D26" s="33"/>
      <c r="E26" s="34"/>
      <c r="F26" s="122"/>
      <c r="G26" s="34"/>
      <c r="H26" s="35"/>
      <c r="I26" s="35"/>
      <c r="J26" s="35"/>
      <c r="K26" s="35"/>
      <c r="L26" s="36" t="s">
        <v>99</v>
      </c>
      <c r="M26" s="37"/>
      <c r="O26" s="106" t="s">
        <v>11</v>
      </c>
      <c r="P26" s="100"/>
      <c r="Q26" s="101">
        <f>SUMIFS(K8:K54,L8:L54,"X")</f>
        <v>0</v>
      </c>
      <c r="R26" s="101">
        <v>15</v>
      </c>
      <c r="S26" s="196">
        <f>IF((R26-Q26)&lt;0,0,SUM(R26-Q26))</f>
        <v>15</v>
      </c>
      <c r="T26" s="57"/>
      <c r="U26" s="57"/>
      <c r="V26" s="57"/>
      <c r="W26" s="4"/>
      <c r="X26" s="252"/>
      <c r="Y26" s="252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2:46" ht="24.75" customHeight="1" x14ac:dyDescent="0.25">
      <c r="B27" s="16"/>
      <c r="C27" s="46"/>
      <c r="D27" s="46"/>
      <c r="E27" s="21"/>
      <c r="F27" s="22"/>
      <c r="G27" s="21"/>
      <c r="H27" s="46"/>
      <c r="I27" s="46"/>
      <c r="J27" s="46"/>
      <c r="K27" s="46"/>
      <c r="L27" s="46"/>
      <c r="M27" s="26"/>
      <c r="O27" s="104" t="s">
        <v>12</v>
      </c>
      <c r="P27" s="100"/>
      <c r="Q27" s="98">
        <f>SUMIFS(D8:D44,M8:M44,"Företagsekonomi",L8:L44,"X")+SUMIFS(D8:D54,M8:M54,"Nationalekonomi",L8:L54,"X")+SUMIFS(D8:D54,M8:M54,"Bioekonomimanagement",L8:L54,"X")</f>
        <v>0</v>
      </c>
      <c r="R27" s="98">
        <v>30</v>
      </c>
      <c r="S27" s="196">
        <f>IF((R27-Q27)&lt;0,0,SUM(R27-Q27))</f>
        <v>30</v>
      </c>
      <c r="T27" s="57"/>
      <c r="U27" s="202">
        <f>IF(S27&lt;=0,R27,Q27)</f>
        <v>0</v>
      </c>
      <c r="V27" s="57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2:46" ht="24.75" customHeight="1" thickBot="1" x14ac:dyDescent="0.3">
      <c r="B28" s="16"/>
      <c r="C28" s="46"/>
      <c r="D28" s="46"/>
      <c r="E28" s="21"/>
      <c r="F28" s="22"/>
      <c r="G28" s="21"/>
      <c r="H28" s="46"/>
      <c r="I28" s="46"/>
      <c r="J28" s="46"/>
      <c r="K28" s="46"/>
      <c r="L28" s="46"/>
      <c r="M28" s="26"/>
      <c r="O28" s="107" t="s">
        <v>2</v>
      </c>
      <c r="P28" s="108"/>
      <c r="Q28" s="109">
        <f>SUMIFS(D8:D36,M8:M36,"Företagsekonomi",L8:L36,"X")</f>
        <v>0</v>
      </c>
      <c r="R28" s="109">
        <v>15</v>
      </c>
      <c r="S28" s="197">
        <f>IF((R28-Q28)&lt;0,0,SUM(R28-Q28))</f>
        <v>15</v>
      </c>
      <c r="T28" s="57"/>
      <c r="U28" s="57"/>
      <c r="V28" s="5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2:46" ht="24.75" customHeight="1" x14ac:dyDescent="0.35">
      <c r="B29" s="16"/>
      <c r="C29" s="46"/>
      <c r="D29" s="46"/>
      <c r="E29" s="21"/>
      <c r="F29" s="22"/>
      <c r="G29" s="21"/>
      <c r="H29" s="46"/>
      <c r="I29" s="46"/>
      <c r="J29" s="46"/>
      <c r="K29" s="46"/>
      <c r="L29" s="46"/>
      <c r="M29" s="26"/>
      <c r="O29" s="259" t="s">
        <v>56</v>
      </c>
      <c r="P29" s="260"/>
      <c r="Q29" s="260"/>
      <c r="R29" s="260"/>
      <c r="S29" s="261" t="s">
        <v>54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2:46" ht="24.75" customHeight="1" x14ac:dyDescent="0.3">
      <c r="B30" s="16"/>
      <c r="C30" s="46"/>
      <c r="D30" s="46"/>
      <c r="E30" s="21"/>
      <c r="F30" s="22"/>
      <c r="G30" s="21"/>
      <c r="H30" s="46"/>
      <c r="I30" s="46"/>
      <c r="J30" s="46"/>
      <c r="K30" s="46"/>
      <c r="L30" s="46"/>
      <c r="M30" s="26"/>
      <c r="O30" s="128" t="s">
        <v>38</v>
      </c>
      <c r="P30" s="110"/>
      <c r="Q30" s="110" t="s">
        <v>1</v>
      </c>
      <c r="R30" s="110" t="s">
        <v>14</v>
      </c>
      <c r="S30" s="262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2:46" ht="24.75" customHeight="1" x14ac:dyDescent="0.25">
      <c r="B31" s="16"/>
      <c r="C31" s="46"/>
      <c r="D31" s="46"/>
      <c r="E31" s="21"/>
      <c r="F31" s="22"/>
      <c r="G31" s="21"/>
      <c r="H31" s="46"/>
      <c r="I31" s="46"/>
      <c r="J31" s="46"/>
      <c r="K31" s="46"/>
      <c r="L31" s="46"/>
      <c r="M31" s="26"/>
      <c r="O31" s="111" t="s">
        <v>57</v>
      </c>
      <c r="P31" s="112"/>
      <c r="Q31" s="200">
        <f>SUMIFS(D8:D54,L8:L54,"X")-(U19+U25+U27)-SUMIFS(D8:D54,M8:M54,"Annat ämne",L8:L54,"X")</f>
        <v>0</v>
      </c>
      <c r="R31" s="127">
        <v>105</v>
      </c>
      <c r="S31" s="214">
        <f>IF((R31-Q31)&gt;105,"105",SUM(R31-Q31))</f>
        <v>105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2:46" ht="24.75" customHeight="1" x14ac:dyDescent="0.25">
      <c r="B32" s="16"/>
      <c r="C32" s="46"/>
      <c r="D32" s="46"/>
      <c r="E32" s="21"/>
      <c r="F32" s="22"/>
      <c r="G32" s="21"/>
      <c r="H32" s="46"/>
      <c r="I32" s="46"/>
      <c r="J32" s="46"/>
      <c r="K32" s="46"/>
      <c r="L32" s="46"/>
      <c r="M32" s="26"/>
      <c r="O32" s="113" t="s">
        <v>35</v>
      </c>
      <c r="P32" s="114"/>
      <c r="Q32" s="129">
        <f>SUMIFS(D8:D54,E8:E54,"G2E",L8:L54,"X")</f>
        <v>0</v>
      </c>
      <c r="R32" s="129">
        <v>15</v>
      </c>
      <c r="S32" s="195">
        <f t="shared" ref="S32:S33" si="3">IF((R32-Q32)&lt;0,0,SUM(R32-Q32))</f>
        <v>15</v>
      </c>
      <c r="T32" s="4"/>
      <c r="U32" s="4"/>
      <c r="V32" s="57"/>
      <c r="W32" s="57"/>
      <c r="X32" s="57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2:47" ht="24.75" customHeight="1" x14ac:dyDescent="0.25">
      <c r="B33" s="16"/>
      <c r="C33" s="46"/>
      <c r="D33" s="46"/>
      <c r="E33" s="21"/>
      <c r="F33" s="22"/>
      <c r="G33" s="21"/>
      <c r="H33" s="46"/>
      <c r="I33" s="46"/>
      <c r="J33" s="46"/>
      <c r="K33" s="46"/>
      <c r="L33" s="46"/>
      <c r="M33" s="26"/>
      <c r="O33" s="111" t="s">
        <v>76</v>
      </c>
      <c r="P33" s="114"/>
      <c r="Q33" s="129">
        <f>SUMIFS(D8:D54,E8:E54,"A1N",L8:L54,"X")+SUMIFS(D8:D54,E8:E54,"A1F",L8:L54,"X")+SUMIFS(D8:D54,E8:E54,"A2E",L8:L54,"X")</f>
        <v>0</v>
      </c>
      <c r="R33" s="129">
        <v>90</v>
      </c>
      <c r="S33" s="195">
        <f t="shared" si="3"/>
        <v>90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7" ht="26.25" customHeight="1" x14ac:dyDescent="0.25">
      <c r="B34" s="16"/>
      <c r="C34" s="46"/>
      <c r="D34" s="46"/>
      <c r="E34" s="21"/>
      <c r="F34" s="22"/>
      <c r="G34" s="21"/>
      <c r="H34" s="46"/>
      <c r="I34" s="46"/>
      <c r="J34" s="46"/>
      <c r="K34" s="46"/>
      <c r="L34" s="46"/>
      <c r="M34" s="26"/>
      <c r="N34" s="5"/>
      <c r="O34" s="113" t="s">
        <v>74</v>
      </c>
      <c r="P34" s="130"/>
      <c r="Q34" s="131"/>
      <c r="R34" s="131"/>
      <c r="S34" s="198"/>
      <c r="T34" s="4"/>
      <c r="U34" s="4"/>
      <c r="V34" s="243" t="s">
        <v>103</v>
      </c>
      <c r="W34" s="244"/>
      <c r="X34" s="245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2:47" ht="21.75" customHeight="1" x14ac:dyDescent="0.25">
      <c r="B35" s="16"/>
      <c r="C35" s="46"/>
      <c r="D35" s="46"/>
      <c r="E35" s="21"/>
      <c r="F35" s="22"/>
      <c r="G35" s="21"/>
      <c r="H35" s="46"/>
      <c r="I35" s="46"/>
      <c r="J35" s="46"/>
      <c r="K35" s="46"/>
      <c r="L35" s="46"/>
      <c r="M35" s="26"/>
      <c r="N35" s="5"/>
      <c r="O35" s="115" t="s">
        <v>42</v>
      </c>
      <c r="P35" s="114"/>
      <c r="Q35" s="132">
        <f>SUMIFS(D8:D54,M8:M54,"Biologi",E8:E54,"A1N",L8:L54,"X")+SUMIFS(D8:D54,M8:M54,"Biologi",E8:E54,"A1F",L8:L54,"x")+SUMIFS(D8:D54,M8:M54,"Biologi",E8:E54,"A2E",L8:L54,"X")</f>
        <v>0</v>
      </c>
      <c r="R35" s="132">
        <v>60</v>
      </c>
      <c r="S35" s="195">
        <f t="shared" ref="S35:S40" si="4">IF((R35-Q35)&lt;0,0,SUM(R35-Q35))</f>
        <v>60</v>
      </c>
      <c r="T35" s="4"/>
      <c r="U35" s="4"/>
      <c r="V35" s="246"/>
      <c r="W35" s="247"/>
      <c r="X35" s="248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2:47" ht="27.75" customHeight="1" thickBot="1" x14ac:dyDescent="0.3">
      <c r="B36" s="51"/>
      <c r="C36" s="53"/>
      <c r="D36" s="53"/>
      <c r="E36" s="123"/>
      <c r="F36" s="124"/>
      <c r="G36" s="123"/>
      <c r="H36" s="53"/>
      <c r="I36" s="53"/>
      <c r="J36" s="53"/>
      <c r="K36" s="53"/>
      <c r="L36" s="53"/>
      <c r="M36" s="141"/>
      <c r="N36" s="5"/>
      <c r="O36" s="115" t="s">
        <v>4</v>
      </c>
      <c r="P36" s="114"/>
      <c r="Q36" s="132">
        <f>SUMIFS(D8:D54,M8:M54,"Skogsbruksvetenskap",E8:E54,"A1N",L8:L54,"X")+SUMIFS(D8:D54,M8:M54,"Skogsbruksvetenskap",E8:E54,"A1F",L8:L54,"X")+SUMIFS(D8:D54,M8:M54,"Skogsbruksvetenskap",E8:E54,"A2E",L8:L54,"x")</f>
        <v>0</v>
      </c>
      <c r="R36" s="132">
        <v>60</v>
      </c>
      <c r="S36" s="195">
        <f t="shared" si="4"/>
        <v>60</v>
      </c>
      <c r="T36" s="4"/>
      <c r="U36" s="4"/>
      <c r="V36" s="246"/>
      <c r="W36" s="247"/>
      <c r="X36" s="248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2:47" ht="27.75" customHeight="1" x14ac:dyDescent="0.25">
      <c r="B37" s="253" t="s">
        <v>77</v>
      </c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5"/>
      <c r="N37" s="5"/>
      <c r="O37" s="115" t="s">
        <v>2</v>
      </c>
      <c r="P37" s="114"/>
      <c r="Q37" s="132">
        <f>SUMIFS(D8:D54,M8:M54,"Företagsekonomi",E8:E54,"A1N",L8:L54,"X")+SUMIFS(D8:D54,M8:M54,"Företagsekonomi",E8:E54,"A1F",L8:L54,"X")+SUMIFS(D8:D54,M8:M54,"Företagsekonomi",E8:E54,"A2E",L8:L54,"X")</f>
        <v>0</v>
      </c>
      <c r="R37" s="132">
        <v>60</v>
      </c>
      <c r="S37" s="195">
        <f t="shared" si="4"/>
        <v>60</v>
      </c>
      <c r="T37" s="4"/>
      <c r="U37" s="4"/>
      <c r="V37" s="246"/>
      <c r="W37" s="247"/>
      <c r="X37" s="248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2:47" ht="27.75" customHeight="1" x14ac:dyDescent="0.25">
      <c r="B38" s="256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8"/>
      <c r="N38" s="5"/>
      <c r="O38" s="115" t="s">
        <v>34</v>
      </c>
      <c r="P38" s="114"/>
      <c r="Q38" s="132">
        <f>SUMIFS(D8:D54,M8:M54,"Bioekonomimanagement",E8:E54,"A1N",L8:L54,"X")+SUMIFS(D8:D54,M8:M54,"Bioekonomimanagement",E8:E54,"A1F",L8:L54,"X")+SUMIFS(D8:D54,M8:M54,"Bioekonomimanagement",E8:E54,"A2E",L8:L54,"X")</f>
        <v>0</v>
      </c>
      <c r="R38" s="132">
        <v>60</v>
      </c>
      <c r="S38" s="195">
        <f t="shared" si="4"/>
        <v>60</v>
      </c>
      <c r="T38" s="4"/>
      <c r="U38" s="4"/>
      <c r="V38" s="246"/>
      <c r="W38" s="247"/>
      <c r="X38" s="248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2:47" ht="25.5" customHeight="1" thickBot="1" x14ac:dyDescent="0.35">
      <c r="B39" s="125"/>
      <c r="C39" s="38"/>
      <c r="D39" s="38"/>
      <c r="E39" s="38"/>
      <c r="F39" s="263" t="s">
        <v>36</v>
      </c>
      <c r="G39" s="265" t="s">
        <v>37</v>
      </c>
      <c r="H39" s="267" t="s">
        <v>53</v>
      </c>
      <c r="I39" s="268"/>
      <c r="J39" s="269"/>
      <c r="K39" s="270" t="s">
        <v>52</v>
      </c>
      <c r="L39" s="274" t="s">
        <v>99</v>
      </c>
      <c r="M39" s="272" t="s">
        <v>16</v>
      </c>
      <c r="N39" s="5"/>
      <c r="O39" s="133" t="s">
        <v>13</v>
      </c>
      <c r="P39" s="134"/>
      <c r="Q39" s="135">
        <f>SUMIFS(D8:D54,E8:E54,"A2E",L8:L54,"X")</f>
        <v>0</v>
      </c>
      <c r="R39" s="135">
        <v>30</v>
      </c>
      <c r="S39" s="199">
        <f t="shared" si="4"/>
        <v>30</v>
      </c>
      <c r="T39" s="4"/>
      <c r="U39" s="4"/>
      <c r="V39" s="246"/>
      <c r="W39" s="247"/>
      <c r="X39" s="248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2:47" ht="31.5" customHeight="1" thickTop="1" thickBot="1" x14ac:dyDescent="0.35">
      <c r="B40" s="39" t="s">
        <v>44</v>
      </c>
      <c r="C40" s="9" t="s">
        <v>39</v>
      </c>
      <c r="D40" s="40" t="s">
        <v>3</v>
      </c>
      <c r="E40" s="9" t="s">
        <v>15</v>
      </c>
      <c r="F40" s="264"/>
      <c r="G40" s="266"/>
      <c r="H40" s="41" t="s">
        <v>50</v>
      </c>
      <c r="I40" s="42" t="s">
        <v>6</v>
      </c>
      <c r="J40" s="41" t="s">
        <v>104</v>
      </c>
      <c r="K40" s="271"/>
      <c r="L40" s="271"/>
      <c r="M40" s="273"/>
      <c r="N40" s="5"/>
      <c r="O40" s="116" t="s">
        <v>68</v>
      </c>
      <c r="P40" s="117"/>
      <c r="Q40" s="118">
        <f>SUMIFS(D7:D54,L7:L54,"X")</f>
        <v>0</v>
      </c>
      <c r="R40" s="118">
        <v>300</v>
      </c>
      <c r="S40" s="119">
        <f t="shared" si="4"/>
        <v>300</v>
      </c>
      <c r="T40" s="4"/>
      <c r="U40" s="4"/>
      <c r="V40" s="249"/>
      <c r="W40" s="250"/>
      <c r="X40" s="251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2:47" ht="21.75" customHeight="1" x14ac:dyDescent="0.25">
      <c r="B41" s="28"/>
      <c r="C41" s="43"/>
      <c r="D41" s="44"/>
      <c r="E41" s="45"/>
      <c r="F41" s="46"/>
      <c r="G41" s="46"/>
      <c r="H41" s="47"/>
      <c r="I41" s="47"/>
      <c r="J41" s="47"/>
      <c r="K41" s="47"/>
      <c r="L41" s="48"/>
      <c r="M41" s="49"/>
      <c r="O41" s="305" t="s">
        <v>117</v>
      </c>
      <c r="P41" s="306"/>
      <c r="Q41" s="306"/>
      <c r="R41" s="306"/>
      <c r="S41" s="307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</row>
    <row r="42" spans="2:47" ht="21.75" customHeight="1" x14ac:dyDescent="0.25">
      <c r="B42" s="16"/>
      <c r="C42" s="43"/>
      <c r="D42" s="44"/>
      <c r="E42" s="45"/>
      <c r="F42" s="46"/>
      <c r="G42" s="46"/>
      <c r="H42" s="47"/>
      <c r="I42" s="47"/>
      <c r="J42" s="47"/>
      <c r="K42" s="47"/>
      <c r="L42" s="48"/>
      <c r="M42" s="49"/>
      <c r="O42" s="308"/>
      <c r="P42" s="309"/>
      <c r="Q42" s="309"/>
      <c r="R42" s="309"/>
      <c r="S42" s="310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2:47" ht="21.75" customHeight="1" x14ac:dyDescent="0.25">
      <c r="B43" s="16"/>
      <c r="C43" s="43"/>
      <c r="D43" s="44"/>
      <c r="E43" s="45"/>
      <c r="F43" s="46"/>
      <c r="G43" s="46"/>
      <c r="H43" s="47"/>
      <c r="I43" s="47"/>
      <c r="J43" s="47"/>
      <c r="K43" s="47"/>
      <c r="L43" s="48"/>
      <c r="M43" s="49"/>
      <c r="O43" s="298" t="s">
        <v>118</v>
      </c>
      <c r="P43" s="299"/>
      <c r="Q43" s="299"/>
      <c r="R43" s="302" t="s">
        <v>119</v>
      </c>
      <c r="S43" s="30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2:47" ht="21.75" customHeight="1" x14ac:dyDescent="0.25">
      <c r="B44" s="16"/>
      <c r="C44" s="43"/>
      <c r="D44" s="44"/>
      <c r="E44" s="45"/>
      <c r="F44" s="46"/>
      <c r="G44" s="46"/>
      <c r="H44" s="47"/>
      <c r="I44" s="47"/>
      <c r="J44" s="47"/>
      <c r="K44" s="47"/>
      <c r="L44" s="48"/>
      <c r="M44" s="49"/>
      <c r="O44" s="300"/>
      <c r="P44" s="301"/>
      <c r="Q44" s="301"/>
      <c r="R44" s="215" t="s">
        <v>26</v>
      </c>
      <c r="S44" s="216" t="s">
        <v>4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2:47" ht="21.75" customHeight="1" x14ac:dyDescent="0.25">
      <c r="B45" s="16"/>
      <c r="C45" s="43"/>
      <c r="D45" s="44"/>
      <c r="E45" s="45"/>
      <c r="F45" s="46"/>
      <c r="G45" s="46"/>
      <c r="H45" s="47"/>
      <c r="I45" s="47"/>
      <c r="J45" s="47"/>
      <c r="K45" s="47"/>
      <c r="L45" s="48"/>
      <c r="M45" s="49"/>
      <c r="O45" s="326" t="s">
        <v>133</v>
      </c>
      <c r="P45" s="327"/>
      <c r="Q45" s="327"/>
      <c r="R45" s="323" t="str">
        <f>IF(AND(S14=0,S11=0,Q26&gt;14.9,Q19&gt;59.9),"JA!","Nej")</f>
        <v>Nej</v>
      </c>
      <c r="S45" s="330" t="str">
        <f>IF(AND(T8=0,Q26&gt;14.9),"JA!","Nej")</f>
        <v>Nej</v>
      </c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2:47" ht="21.75" customHeight="1" x14ac:dyDescent="0.25">
      <c r="B46" s="16"/>
      <c r="C46" s="43"/>
      <c r="D46" s="44"/>
      <c r="E46" s="45"/>
      <c r="F46" s="46"/>
      <c r="G46" s="46"/>
      <c r="H46" s="47"/>
      <c r="I46" s="47"/>
      <c r="J46" s="47"/>
      <c r="K46" s="47"/>
      <c r="L46" s="48"/>
      <c r="M46" s="49"/>
      <c r="O46" s="328"/>
      <c r="P46" s="329"/>
      <c r="Q46" s="329"/>
      <c r="R46" s="323"/>
      <c r="S46" s="331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2:47" ht="21.75" customHeight="1" x14ac:dyDescent="0.25">
      <c r="B47" s="27"/>
      <c r="C47" s="142"/>
      <c r="D47" s="143"/>
      <c r="E47" s="143"/>
      <c r="F47" s="46"/>
      <c r="G47" s="143"/>
      <c r="H47" s="145"/>
      <c r="I47" s="145"/>
      <c r="J47" s="145"/>
      <c r="K47" s="145"/>
      <c r="L47" s="146"/>
      <c r="M47" s="49"/>
      <c r="O47" s="318" t="s">
        <v>120</v>
      </c>
      <c r="P47" s="319"/>
      <c r="Q47" s="319"/>
      <c r="R47" s="323" t="str">
        <f>IF(AND(S14=0,S11=0,Q19&gt;59.9,Q26&gt;14.9),"JA!","Nej")</f>
        <v>Nej</v>
      </c>
      <c r="S47" s="332" t="str">
        <f>IF(AND(T8=0,Q26&gt;14.9),"JA!","Nej")</f>
        <v>Nej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2:47" ht="21.75" customHeight="1" x14ac:dyDescent="0.25">
      <c r="B48" s="16"/>
      <c r="C48" s="46"/>
      <c r="D48" s="45"/>
      <c r="E48" s="45"/>
      <c r="F48" s="46"/>
      <c r="G48" s="46"/>
      <c r="H48" s="47"/>
      <c r="I48" s="47"/>
      <c r="J48" s="47"/>
      <c r="K48" s="47"/>
      <c r="L48" s="47"/>
      <c r="M48" s="49"/>
      <c r="O48" s="318"/>
      <c r="P48" s="319"/>
      <c r="Q48" s="319"/>
      <c r="R48" s="323"/>
      <c r="S48" s="332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</row>
    <row r="49" spans="2:47" ht="21.75" customHeight="1" x14ac:dyDescent="0.25">
      <c r="B49" s="27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49"/>
      <c r="O49" s="318" t="s">
        <v>121</v>
      </c>
      <c r="P49" s="319"/>
      <c r="Q49" s="319"/>
      <c r="R49" s="323" t="str">
        <f>IF(AND(S14=0,S11=0,Q19&gt;59.9),"JA!","Nej")</f>
        <v>Nej</v>
      </c>
      <c r="S49" s="324" t="str">
        <f>IF(T8=0,"JA!","Nej")</f>
        <v>Nej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</row>
    <row r="50" spans="2:47" ht="21.75" customHeight="1" x14ac:dyDescent="0.25">
      <c r="B50" s="16"/>
      <c r="C50" s="30"/>
      <c r="D50" s="21"/>
      <c r="E50" s="21"/>
      <c r="F50" s="22"/>
      <c r="G50" s="21"/>
      <c r="H50" s="29"/>
      <c r="I50" s="29"/>
      <c r="J50" s="29"/>
      <c r="K50" s="29"/>
      <c r="L50" s="21"/>
      <c r="M50" s="49"/>
      <c r="O50" s="318"/>
      <c r="P50" s="319"/>
      <c r="Q50" s="319"/>
      <c r="R50" s="323"/>
      <c r="S50" s="325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2:47" ht="21.75" customHeight="1" x14ac:dyDescent="0.25">
      <c r="B51" s="16"/>
      <c r="C51" s="46"/>
      <c r="D51" s="46"/>
      <c r="E51" s="21"/>
      <c r="F51" s="22"/>
      <c r="G51" s="21"/>
      <c r="H51" s="46"/>
      <c r="I51" s="46"/>
      <c r="J51" s="46"/>
      <c r="K51" s="46"/>
      <c r="L51" s="46"/>
      <c r="M51" s="49"/>
      <c r="O51" s="318" t="s">
        <v>122</v>
      </c>
      <c r="P51" s="319"/>
      <c r="Q51" s="319"/>
      <c r="R51" s="320" t="str">
        <f>IF(AND(T14=0,Q27&gt;29.9,Q28&gt;14.9,Q19&gt;29.9),"JA!","Nej")</f>
        <v>Nej</v>
      </c>
      <c r="S51" s="322" t="str">
        <f>IF(AND(T14=0,Q27&gt;29.9,Q28&gt;14.9),"JA!","Nej")</f>
        <v>Nej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2:47" ht="21.75" customHeight="1" x14ac:dyDescent="0.25">
      <c r="B52" s="16"/>
      <c r="C52" s="46"/>
      <c r="D52" s="46"/>
      <c r="E52" s="21"/>
      <c r="F52" s="22"/>
      <c r="G52" s="21"/>
      <c r="H52" s="46"/>
      <c r="I52" s="46"/>
      <c r="J52" s="46"/>
      <c r="K52" s="46"/>
      <c r="L52" s="46"/>
      <c r="M52" s="49"/>
      <c r="O52" s="318"/>
      <c r="P52" s="319"/>
      <c r="Q52" s="319"/>
      <c r="R52" s="321"/>
      <c r="S52" s="32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2:47" ht="21.75" customHeight="1" x14ac:dyDescent="0.25">
      <c r="B53" s="1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9"/>
      <c r="O53" s="318" t="s">
        <v>123</v>
      </c>
      <c r="P53" s="319"/>
      <c r="Q53" s="319"/>
      <c r="R53" s="323" t="str">
        <f>IF(AND(S14=0,S11=0,Q19&gt;59.9,L15="x",Q22&gt;14.9),"JA!","Nej")</f>
        <v>Nej</v>
      </c>
      <c r="S53" s="333" t="str">
        <f>IF(AND(T8=0,Q22&gt;14.9,L15="X"),"JA!","Nej")</f>
        <v>Nej</v>
      </c>
      <c r="T53" s="50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2:47" ht="21.75" customHeight="1" x14ac:dyDescent="0.25">
      <c r="B54" s="1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9"/>
      <c r="O54" s="318"/>
      <c r="P54" s="319"/>
      <c r="Q54" s="319"/>
      <c r="R54" s="323"/>
      <c r="S54" s="334"/>
      <c r="T54" s="50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2:47" ht="21.75" customHeight="1" x14ac:dyDescent="0.25">
      <c r="B55" s="16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8"/>
      <c r="O55" s="335" t="s">
        <v>125</v>
      </c>
      <c r="P55" s="336"/>
      <c r="Q55" s="336"/>
      <c r="R55" s="339" t="str">
        <f>IF(AND(T14=0,U14&gt;89.9),"JA!","Nej")</f>
        <v>Nej</v>
      </c>
      <c r="S55" s="341" t="s">
        <v>124</v>
      </c>
      <c r="T55" s="50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</row>
    <row r="56" spans="2:47" ht="21" customHeight="1" thickBot="1" x14ac:dyDescent="0.3">
      <c r="B56" s="51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20"/>
      <c r="O56" s="337"/>
      <c r="P56" s="338"/>
      <c r="Q56" s="338"/>
      <c r="R56" s="340"/>
      <c r="S56" s="342"/>
      <c r="T56" s="50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</row>
    <row r="57" spans="2:47" ht="21" customHeight="1" x14ac:dyDescent="0.2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O57" s="4"/>
      <c r="P57" s="4"/>
      <c r="Q57" s="4"/>
      <c r="R57" s="4"/>
      <c r="S57" s="4"/>
      <c r="T57" s="252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</row>
    <row r="58" spans="2:47" ht="21" customHeight="1" x14ac:dyDescent="0.2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O58" s="4"/>
      <c r="P58" s="4"/>
      <c r="Q58" s="4"/>
      <c r="R58" s="4"/>
      <c r="S58" s="4"/>
      <c r="T58" s="252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</row>
    <row r="59" spans="2:47" ht="21" customHeight="1" x14ac:dyDescent="0.2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O59" s="4"/>
      <c r="P59" s="4"/>
      <c r="Q59" s="4"/>
      <c r="R59" s="4"/>
      <c r="S59" s="4"/>
      <c r="T59" s="50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2:47" ht="21" customHeight="1" x14ac:dyDescent="0.2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O60" s="4"/>
      <c r="P60" s="4"/>
      <c r="Q60" s="4"/>
      <c r="R60" s="4"/>
      <c r="S60" s="4"/>
      <c r="T60" s="50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2:47" ht="21" customHeight="1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O61" s="4"/>
      <c r="P61" s="4"/>
      <c r="Q61" s="4"/>
      <c r="R61" s="4"/>
      <c r="S61" s="4"/>
      <c r="T61" s="50"/>
      <c r="U61" s="23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2:47" ht="21" customHeigh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7"/>
      <c r="O62" s="4"/>
      <c r="P62" s="4"/>
      <c r="Q62" s="4"/>
      <c r="R62" s="4"/>
      <c r="S62" s="4"/>
      <c r="T62" s="50"/>
      <c r="U62" s="23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</row>
    <row r="63" spans="2:47" ht="21" customHeigh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7" t="s">
        <v>20</v>
      </c>
      <c r="O63" s="4"/>
      <c r="P63" s="4"/>
      <c r="Q63" s="4"/>
      <c r="R63" s="4"/>
      <c r="S63" s="4"/>
      <c r="T63" s="50"/>
      <c r="U63" s="23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</row>
    <row r="64" spans="2:47" ht="17.25" customHeigh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7" t="s">
        <v>21</v>
      </c>
      <c r="O64" s="4"/>
      <c r="P64" s="4"/>
      <c r="Q64" s="4"/>
      <c r="R64" s="4"/>
      <c r="S64" s="4"/>
      <c r="T64" s="50"/>
      <c r="U64" s="23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</row>
    <row r="65" spans="3:46" ht="17.25" customHeight="1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7" t="s">
        <v>17</v>
      </c>
      <c r="O65" s="4"/>
      <c r="P65" s="4"/>
      <c r="Q65" s="4"/>
      <c r="R65" s="4"/>
      <c r="S65" s="4"/>
      <c r="T65" s="50"/>
      <c r="U65" s="23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3:46" ht="17.25" customHeight="1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7" t="s">
        <v>18</v>
      </c>
      <c r="O66" s="4"/>
      <c r="P66" s="4"/>
      <c r="Q66" s="4"/>
      <c r="R66" s="4"/>
      <c r="S66" s="4"/>
      <c r="T66" s="50"/>
      <c r="U66" s="23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3:46" ht="17.25" customHeight="1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7" t="s">
        <v>19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3:46" ht="17.25" customHeight="1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7" t="s">
        <v>22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</row>
    <row r="69" spans="3:46" ht="17.25" customHeight="1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7" t="s">
        <v>43</v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</row>
    <row r="70" spans="3:46" ht="17.25" customHeight="1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7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</row>
    <row r="71" spans="3:46" ht="17.25" customHeight="1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</row>
    <row r="72" spans="3:46" ht="17.25" customHeight="1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</row>
    <row r="73" spans="3:46" ht="17.25" customHeight="1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</row>
    <row r="74" spans="3:46" ht="21.75" customHeight="1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</row>
    <row r="75" spans="3:46" ht="17.25" customHeight="1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</row>
    <row r="76" spans="3:46" ht="17.25" customHeight="1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</row>
    <row r="77" spans="3:46" ht="17.25" customHeight="1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</row>
    <row r="78" spans="3:46" ht="17.25" customHeight="1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</row>
    <row r="79" spans="3:46" ht="17.25" customHeight="1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</row>
    <row r="80" spans="3:46" ht="17.25" customHeight="1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</row>
    <row r="81" spans="3:46" ht="17.25" customHeight="1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</row>
    <row r="82" spans="3:46" ht="17.25" customHeight="1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</row>
    <row r="83" spans="3:46" ht="17.25" customHeight="1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</row>
    <row r="84" spans="3:46" ht="17.25" customHeight="1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</row>
    <row r="85" spans="3:46" ht="17.25" customHeight="1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</row>
    <row r="86" spans="3:46" ht="17.25" customHeight="1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O86" s="4"/>
      <c r="T86" s="4"/>
      <c r="U86" s="4"/>
      <c r="V86" s="4"/>
      <c r="W86" s="4"/>
      <c r="X86" s="4"/>
      <c r="Y86" s="4"/>
      <c r="Z86" s="4"/>
      <c r="AA86" s="4"/>
    </row>
    <row r="87" spans="3:46" ht="17.25" customHeight="1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T87" s="4"/>
      <c r="U87" s="4"/>
      <c r="V87" s="4"/>
      <c r="W87" s="4"/>
      <c r="X87" s="4"/>
      <c r="Y87" s="4"/>
      <c r="Z87" s="4"/>
      <c r="AA87" s="4"/>
    </row>
    <row r="88" spans="3:46" ht="17.25" customHeight="1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T88" s="4"/>
      <c r="U88" s="4"/>
      <c r="V88" s="4"/>
      <c r="W88" s="4"/>
      <c r="X88" s="4"/>
      <c r="Y88" s="4"/>
      <c r="Z88" s="4"/>
      <c r="AA88" s="4"/>
    </row>
    <row r="89" spans="3:46" ht="17.25" customHeight="1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T89" s="4"/>
      <c r="U89" s="4"/>
      <c r="V89" s="4"/>
      <c r="W89" s="4"/>
      <c r="X89" s="4"/>
      <c r="Y89" s="4"/>
      <c r="Z89" s="4"/>
      <c r="AA89" s="4"/>
    </row>
    <row r="90" spans="3:46" ht="17.25" customHeight="1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T90" s="4"/>
      <c r="U90" s="4"/>
      <c r="V90" s="4"/>
      <c r="W90" s="4"/>
      <c r="X90" s="4"/>
      <c r="Y90" s="4"/>
      <c r="Z90" s="4"/>
      <c r="AA90" s="4"/>
    </row>
    <row r="91" spans="3:46" ht="17.25" customHeight="1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3:46" ht="17.25" customHeight="1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3:46" ht="17.25" customHeight="1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3:46" ht="17.25" customHeight="1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3:46" ht="17.25" customHeight="1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3:46" ht="17.25" customHeight="1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3:15" ht="17.25" customHeight="1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</row>
    <row r="98" spans="3:15" ht="17.25" customHeight="1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O98" s="4"/>
    </row>
    <row r="99" spans="3:15" ht="17.25" customHeight="1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O99" s="4"/>
    </row>
    <row r="100" spans="3:15" ht="17.25" customHeight="1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O100" s="4"/>
    </row>
    <row r="101" spans="3:15" ht="17.25" customHeight="1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3:15" ht="17.25" customHeight="1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3:15" ht="17.25" customHeight="1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3:15" ht="17.25" customHeight="1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5" ht="17.25" customHeight="1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3:15" ht="17.25" customHeight="1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3:15" ht="17.25" customHeight="1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3:15" ht="17.25" customHeight="1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3:15" ht="17.25" customHeight="1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3:15" ht="17.25" customHeight="1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3:15" ht="17.25" customHeight="1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</sheetData>
  <mergeCells count="49">
    <mergeCell ref="O53:Q54"/>
    <mergeCell ref="R53:R54"/>
    <mergeCell ref="S53:S54"/>
    <mergeCell ref="O55:Q56"/>
    <mergeCell ref="R55:R56"/>
    <mergeCell ref="S55:S56"/>
    <mergeCell ref="O45:Q46"/>
    <mergeCell ref="R45:R46"/>
    <mergeCell ref="S45:S46"/>
    <mergeCell ref="O47:Q48"/>
    <mergeCell ref="R47:R48"/>
    <mergeCell ref="S47:S48"/>
    <mergeCell ref="O51:Q52"/>
    <mergeCell ref="R51:R52"/>
    <mergeCell ref="S51:S52"/>
    <mergeCell ref="O49:Q50"/>
    <mergeCell ref="R49:R50"/>
    <mergeCell ref="S49:S50"/>
    <mergeCell ref="F5:F6"/>
    <mergeCell ref="G5:G6"/>
    <mergeCell ref="O2:S2"/>
    <mergeCell ref="O3:R3"/>
    <mergeCell ref="O43:Q44"/>
    <mergeCell ref="R43:S43"/>
    <mergeCell ref="M5:M6"/>
    <mergeCell ref="S9:S10"/>
    <mergeCell ref="S3:S4"/>
    <mergeCell ref="O41:S42"/>
    <mergeCell ref="O17:R17"/>
    <mergeCell ref="S17:S18"/>
    <mergeCell ref="K5:K6"/>
    <mergeCell ref="L5:L6"/>
    <mergeCell ref="O16:S16"/>
    <mergeCell ref="B1:M1"/>
    <mergeCell ref="V34:X40"/>
    <mergeCell ref="T57:T58"/>
    <mergeCell ref="B37:M38"/>
    <mergeCell ref="O29:R29"/>
    <mergeCell ref="S29:S30"/>
    <mergeCell ref="F39:F40"/>
    <mergeCell ref="G39:G40"/>
    <mergeCell ref="H39:J39"/>
    <mergeCell ref="K39:K40"/>
    <mergeCell ref="M39:M40"/>
    <mergeCell ref="L39:L40"/>
    <mergeCell ref="X19:Y26"/>
    <mergeCell ref="B2:M4"/>
    <mergeCell ref="V3:X11"/>
    <mergeCell ref="H5:J5"/>
  </mergeCells>
  <conditionalFormatting sqref="R39">
    <cfRule type="cellIs" dxfId="15" priority="13" operator="lessThan">
      <formula>15</formula>
    </cfRule>
  </conditionalFormatting>
  <conditionalFormatting sqref="R31">
    <cfRule type="cellIs" dxfId="14" priority="16" operator="lessThan">
      <formula>30</formula>
    </cfRule>
  </conditionalFormatting>
  <conditionalFormatting sqref="R32">
    <cfRule type="cellIs" dxfId="13" priority="15" operator="lessThan">
      <formula>15</formula>
    </cfRule>
  </conditionalFormatting>
  <conditionalFormatting sqref="R33">
    <cfRule type="cellIs" dxfId="12" priority="14" operator="lessThan">
      <formula>30</formula>
    </cfRule>
  </conditionalFormatting>
  <conditionalFormatting sqref="R35">
    <cfRule type="cellIs" dxfId="11" priority="12" operator="lessThan">
      <formula>15</formula>
    </cfRule>
  </conditionalFormatting>
  <conditionalFormatting sqref="T59:T61 T66 S5:S8 S24:S28 S31:S33 T53:T56 S35:S40">
    <cfRule type="cellIs" dxfId="10" priority="11" operator="greaterThan">
      <formula>0</formula>
    </cfRule>
  </conditionalFormatting>
  <conditionalFormatting sqref="S5:S8">
    <cfRule type="cellIs" dxfId="9" priority="10" operator="greaterThan">
      <formula>0</formula>
    </cfRule>
  </conditionalFormatting>
  <conditionalFormatting sqref="S11:S14">
    <cfRule type="cellIs" dxfId="8" priority="9" operator="greaterThan">
      <formula>0</formula>
    </cfRule>
  </conditionalFormatting>
  <conditionalFormatting sqref="S19:S23">
    <cfRule type="cellIs" dxfId="7" priority="8" operator="greaterThan">
      <formula>0</formula>
    </cfRule>
  </conditionalFormatting>
  <conditionalFormatting sqref="S31:S33 S39">
    <cfRule type="cellIs" dxfId="6" priority="7" operator="greaterThan">
      <formula>0</formula>
    </cfRule>
  </conditionalFormatting>
  <conditionalFormatting sqref="R45:S45 R49:S49 R47:S47 R51:S51 R53:S53">
    <cfRule type="containsText" dxfId="5" priority="2" operator="containsText" text="JA!">
      <formula>NOT(ISERROR(SEARCH("JA!",R45)))</formula>
    </cfRule>
  </conditionalFormatting>
  <conditionalFormatting sqref="R55">
    <cfRule type="cellIs" dxfId="4" priority="1" operator="equal">
      <formula>"JA!"</formula>
    </cfRule>
  </conditionalFormatting>
  <dataValidations count="4">
    <dataValidation type="list" allowBlank="1" showInputMessage="1" showErrorMessage="1" sqref="M20">
      <formula1>#REF!</formula1>
    </dataValidation>
    <dataValidation type="list" allowBlank="1" showInputMessage="1" showErrorMessage="1" sqref="M12 G47 D26">
      <formula1>#REF!</formula1>
    </dataValidation>
    <dataValidation type="list" allowBlank="1" showInputMessage="1" showErrorMessage="1" sqref="M21:M36 M13:M19 M8:M11 M41:M54">
      <formula1>F8:G8</formula1>
    </dataValidation>
    <dataValidation type="list" allowBlank="1" showInputMessage="1" showErrorMessage="1" sqref="E50:E52 E41:E48 E8:E36">
      <formula1>$N$63:$N$69</formula1>
    </dataValidation>
  </dataValidations>
  <pageMargins left="0.7" right="0.7" top="0.75" bottom="0.75" header="0.3" footer="0.3"/>
  <pageSetup paperSize="9" orientation="portrait" r:id="rId1"/>
  <ignoredErrors>
    <ignoredError sqref="U1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'JM-kraven'!$A$1:$A$16</xm:f>
          </x14:formula1>
          <xm:sqref>F41:G46 F48:G48 F47</xm:sqref>
        </x14:dataValidation>
        <x14:dataValidation type="list" allowBlank="1" showInputMessage="1" showErrorMessage="1">
          <x14:formula1>
            <xm:f>'JM-kraven'!$A$2:$A$16</xm:f>
          </x14:formula1>
          <xm:sqref>F8:G13 F50:G52 F14:F36 G15:G36</xm:sqref>
        </x14:dataValidation>
        <x14:dataValidation type="list" allowBlank="1" showInputMessage="1" showErrorMessage="1">
          <x14:formula1>
            <xm:f>'JM-kraven'!$F$2:$F$5</xm:f>
          </x14:formula1>
          <xm:sqref>D8:D11 D13:D19 D21:D25 D27:D36 D41:D54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BJ103"/>
  <sheetViews>
    <sheetView zoomScaleNormal="100" workbookViewId="0">
      <selection activeCell="O30" sqref="O30"/>
    </sheetView>
  </sheetViews>
  <sheetFormatPr defaultColWidth="9.140625" defaultRowHeight="17.25" customHeight="1" x14ac:dyDescent="0.25"/>
  <cols>
    <col min="1" max="1" width="1.42578125" style="4" customWidth="1"/>
    <col min="2" max="2" width="9.140625" style="5"/>
    <col min="3" max="3" width="35.140625" style="5" customWidth="1"/>
    <col min="4" max="5" width="9.140625" style="5"/>
    <col min="6" max="6" width="26.42578125" style="5" customWidth="1"/>
    <col min="7" max="7" width="27" style="5" customWidth="1"/>
    <col min="8" max="8" width="15.140625" style="5" customWidth="1"/>
    <col min="9" max="9" width="16.7109375" style="5" customWidth="1"/>
    <col min="10" max="10" width="15.140625" style="5" customWidth="1"/>
    <col min="11" max="11" width="14.28515625" style="5" customWidth="1"/>
    <col min="12" max="12" width="26.140625" style="5" customWidth="1"/>
    <col min="13" max="13" width="3.28515625" style="4" customWidth="1"/>
    <col min="14" max="14" width="28.42578125" style="5" customWidth="1"/>
    <col min="15" max="15" width="16" style="5" customWidth="1"/>
    <col min="16" max="16" width="14.7109375" style="5" customWidth="1"/>
    <col min="17" max="17" width="9.140625" style="5"/>
    <col min="18" max="18" width="16.5703125" style="5" customWidth="1"/>
    <col min="19" max="19" width="9.140625" style="4" customWidth="1"/>
    <col min="20" max="20" width="9.140625" style="4"/>
    <col min="21" max="21" width="6.140625" style="4" customWidth="1"/>
    <col min="22" max="16384" width="9.140625" style="5"/>
  </cols>
  <sheetData>
    <row r="1" spans="2:62" ht="21.75" customHeight="1" x14ac:dyDescent="0.25">
      <c r="B1" s="354" t="s">
        <v>105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N1" s="4"/>
      <c r="O1" s="4"/>
      <c r="P1" s="4"/>
      <c r="Q1" s="4"/>
      <c r="R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2:62" ht="31.5" customHeight="1" thickBot="1" x14ac:dyDescent="0.3"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N2" s="4"/>
      <c r="O2" s="4"/>
      <c r="P2" s="4"/>
      <c r="Q2" s="4"/>
      <c r="R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2:62" ht="44.25" customHeight="1" x14ac:dyDescent="0.35">
      <c r="B3" s="275" t="s">
        <v>75</v>
      </c>
      <c r="C3" s="276"/>
      <c r="D3" s="276"/>
      <c r="E3" s="276"/>
      <c r="F3" s="276"/>
      <c r="G3" s="276"/>
      <c r="H3" s="276"/>
      <c r="I3" s="276"/>
      <c r="J3" s="276"/>
      <c r="K3" s="276"/>
      <c r="L3" s="277"/>
      <c r="N3" s="355" t="s">
        <v>59</v>
      </c>
      <c r="O3" s="356"/>
      <c r="P3" s="356"/>
      <c r="Q3" s="356"/>
      <c r="R3" s="35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2:62" ht="21" customHeight="1" thickBot="1" x14ac:dyDescent="0.4">
      <c r="B4" s="281"/>
      <c r="C4" s="282"/>
      <c r="D4" s="282"/>
      <c r="E4" s="282"/>
      <c r="F4" s="282"/>
      <c r="G4" s="282"/>
      <c r="H4" s="282"/>
      <c r="I4" s="282"/>
      <c r="J4" s="282"/>
      <c r="K4" s="282"/>
      <c r="L4" s="283"/>
      <c r="N4" s="362" t="s">
        <v>55</v>
      </c>
      <c r="O4" s="363"/>
      <c r="P4" s="363"/>
      <c r="Q4" s="363"/>
      <c r="R4" s="304" t="s">
        <v>54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2:62" ht="25.5" customHeight="1" x14ac:dyDescent="0.3">
      <c r="B5" s="366" t="s">
        <v>44</v>
      </c>
      <c r="C5" s="352"/>
      <c r="D5" s="352"/>
      <c r="E5" s="352"/>
      <c r="F5" s="352"/>
      <c r="G5" s="353"/>
      <c r="H5" s="365" t="s">
        <v>51</v>
      </c>
      <c r="I5" s="365"/>
      <c r="J5" s="365"/>
      <c r="K5" s="364" t="s">
        <v>52</v>
      </c>
      <c r="L5" s="367" t="s">
        <v>16</v>
      </c>
      <c r="N5" s="72" t="s">
        <v>38</v>
      </c>
      <c r="O5" s="73"/>
      <c r="P5" s="74" t="s">
        <v>1</v>
      </c>
      <c r="Q5" s="74" t="s">
        <v>14</v>
      </c>
      <c r="R5" s="304"/>
      <c r="S5" s="7"/>
      <c r="T5" s="7"/>
      <c r="U5" s="7"/>
      <c r="V5" s="23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2:62" ht="36" customHeight="1" x14ac:dyDescent="0.25">
      <c r="B6" s="366"/>
      <c r="C6" s="159" t="s">
        <v>114</v>
      </c>
      <c r="D6" s="159" t="s">
        <v>3</v>
      </c>
      <c r="E6" s="159" t="s">
        <v>15</v>
      </c>
      <c r="F6" s="160" t="s">
        <v>36</v>
      </c>
      <c r="G6" s="161" t="s">
        <v>37</v>
      </c>
      <c r="H6" s="162" t="s">
        <v>50</v>
      </c>
      <c r="I6" s="163" t="s">
        <v>6</v>
      </c>
      <c r="J6" s="163" t="s">
        <v>104</v>
      </c>
      <c r="K6" s="365"/>
      <c r="L6" s="368"/>
      <c r="N6" s="173" t="s">
        <v>8</v>
      </c>
      <c r="O6" s="174"/>
      <c r="P6" s="77">
        <f>SUMIFS(D7:D48,L7:L48,"Skogsbruksvetenskap")</f>
        <v>0</v>
      </c>
      <c r="Q6" s="77">
        <v>135</v>
      </c>
      <c r="R6" s="78">
        <f>IF((Q6-P6)&lt;0,0,SUM(Q6-P6))</f>
        <v>135</v>
      </c>
      <c r="S6" s="7"/>
      <c r="T6" s="202">
        <f>IF(R6&lt;=0,Q6,P6)</f>
        <v>0</v>
      </c>
      <c r="V6" s="23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2:62" ht="21" customHeight="1" x14ac:dyDescent="0.25">
      <c r="B7" s="164"/>
      <c r="C7" s="165"/>
      <c r="D7" s="45"/>
      <c r="E7" s="45"/>
      <c r="F7" s="166"/>
      <c r="G7" s="45"/>
      <c r="H7" s="45"/>
      <c r="I7" s="45"/>
      <c r="J7" s="45"/>
      <c r="K7" s="45"/>
      <c r="L7" s="167"/>
      <c r="M7" s="19"/>
      <c r="N7" s="79" t="s">
        <v>9</v>
      </c>
      <c r="O7" s="76"/>
      <c r="P7" s="80">
        <f>SUM(H7:H48)</f>
        <v>0</v>
      </c>
      <c r="Q7" s="80">
        <v>15</v>
      </c>
      <c r="R7" s="78">
        <f t="shared" ref="R7:R15" si="0">IF((Q7-P7)&lt;0,0,SUM(Q7-P7))</f>
        <v>15</v>
      </c>
      <c r="S7" s="19"/>
      <c r="T7" s="57"/>
      <c r="V7" s="2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21" customHeight="1" x14ac:dyDescent="0.25">
      <c r="B8" s="164"/>
      <c r="C8" s="165"/>
      <c r="D8" s="45"/>
      <c r="E8" s="45"/>
      <c r="F8" s="166"/>
      <c r="G8" s="45"/>
      <c r="H8" s="45"/>
      <c r="I8" s="45"/>
      <c r="J8" s="45"/>
      <c r="K8" s="45"/>
      <c r="L8" s="167"/>
      <c r="N8" s="79" t="s">
        <v>6</v>
      </c>
      <c r="O8" s="76"/>
      <c r="P8" s="80">
        <f>SUM(J7:J48)</f>
        <v>0</v>
      </c>
      <c r="Q8" s="80">
        <v>15</v>
      </c>
      <c r="R8" s="78">
        <f t="shared" si="0"/>
        <v>15</v>
      </c>
      <c r="S8" s="19"/>
      <c r="T8" s="57"/>
      <c r="V8" s="23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2:62" ht="21" customHeight="1" x14ac:dyDescent="0.25">
      <c r="B9" s="164"/>
      <c r="C9" s="165"/>
      <c r="D9" s="45"/>
      <c r="E9" s="45"/>
      <c r="F9" s="166"/>
      <c r="G9" s="45"/>
      <c r="H9" s="45"/>
      <c r="I9" s="45"/>
      <c r="J9" s="45"/>
      <c r="K9" s="45"/>
      <c r="L9" s="167"/>
      <c r="N9" s="79" t="s">
        <v>7</v>
      </c>
      <c r="O9" s="81"/>
      <c r="P9" s="80">
        <f>SUM(I7:I48)</f>
        <v>0</v>
      </c>
      <c r="Q9" s="82">
        <v>15</v>
      </c>
      <c r="R9" s="78">
        <f t="shared" si="0"/>
        <v>15</v>
      </c>
      <c r="S9" s="19"/>
      <c r="T9" s="57"/>
      <c r="V9" s="23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2:62" ht="21" customHeight="1" x14ac:dyDescent="0.25">
      <c r="B10" s="164"/>
      <c r="C10" s="165"/>
      <c r="D10" s="45"/>
      <c r="E10" s="45"/>
      <c r="F10" s="166"/>
      <c r="G10" s="45"/>
      <c r="H10" s="45"/>
      <c r="I10" s="45"/>
      <c r="J10" s="45"/>
      <c r="K10" s="45"/>
      <c r="L10" s="167"/>
      <c r="N10" s="79" t="s">
        <v>134</v>
      </c>
      <c r="O10" s="81"/>
      <c r="P10" s="80">
        <f>SUMIFS(D7:D48,L7:L48,"Skogsbruksvetenskap",E7:E48,"G2F")</f>
        <v>0</v>
      </c>
      <c r="Q10" s="82">
        <v>15</v>
      </c>
      <c r="R10" s="78">
        <f t="shared" si="0"/>
        <v>15</v>
      </c>
      <c r="S10" s="19"/>
      <c r="T10" s="57"/>
      <c r="V10" s="23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2:62" ht="21" customHeight="1" x14ac:dyDescent="0.25">
      <c r="B11" s="164"/>
      <c r="C11" s="165"/>
      <c r="D11" s="45"/>
      <c r="E11" s="45"/>
      <c r="F11" s="166"/>
      <c r="G11" s="45"/>
      <c r="H11" s="45"/>
      <c r="I11" s="45"/>
      <c r="J11" s="45"/>
      <c r="K11" s="45"/>
      <c r="L11" s="167"/>
      <c r="N11" s="79" t="s">
        <v>40</v>
      </c>
      <c r="O11" s="81"/>
      <c r="P11" s="80">
        <f>SUMIFS(D7:D48,L7:L48,"Skogsbruksvetenskap",E7:E48,"A1N")+SUMIFS(D7:D48,L7:L48,"Skogsbruksvetenskap",E7:E48,"A1F")</f>
        <v>0</v>
      </c>
      <c r="Q11" s="82">
        <v>30</v>
      </c>
      <c r="R11" s="78">
        <f t="shared" si="0"/>
        <v>30</v>
      </c>
      <c r="S11" s="19"/>
      <c r="T11" s="57"/>
      <c r="V11" s="23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2:62" ht="21" customHeight="1" x14ac:dyDescent="0.25">
      <c r="B12" s="164"/>
      <c r="C12" s="165"/>
      <c r="D12" s="143"/>
      <c r="E12" s="143"/>
      <c r="F12" s="168"/>
      <c r="G12" s="143"/>
      <c r="H12" s="143"/>
      <c r="I12" s="143"/>
      <c r="J12" s="143"/>
      <c r="K12" s="143"/>
      <c r="L12" s="167"/>
      <c r="N12" s="175" t="s">
        <v>10</v>
      </c>
      <c r="O12" s="176"/>
      <c r="P12" s="77">
        <f>SUMIFS(D7:D48,L7:L48,"Biologi")</f>
        <v>0</v>
      </c>
      <c r="Q12" s="77">
        <v>30</v>
      </c>
      <c r="R12" s="78">
        <f t="shared" si="0"/>
        <v>30</v>
      </c>
      <c r="S12" s="19"/>
      <c r="T12" s="202">
        <f t="shared" ref="T12:T14" si="1">IF(R12&lt;=0,Q12,P12)</f>
        <v>0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2:62" ht="21" customHeight="1" x14ac:dyDescent="0.25">
      <c r="B13" s="164"/>
      <c r="C13" s="46"/>
      <c r="D13" s="45"/>
      <c r="E13" s="45"/>
      <c r="F13" s="166"/>
      <c r="G13" s="45"/>
      <c r="H13" s="45"/>
      <c r="I13" s="45"/>
      <c r="J13" s="45"/>
      <c r="K13" s="45"/>
      <c r="L13" s="167"/>
      <c r="N13" s="177" t="s">
        <v>11</v>
      </c>
      <c r="O13" s="76"/>
      <c r="P13" s="80">
        <f>SUM(K7:K48)</f>
        <v>0</v>
      </c>
      <c r="Q13" s="80">
        <v>15</v>
      </c>
      <c r="R13" s="78">
        <f t="shared" si="0"/>
        <v>15</v>
      </c>
      <c r="T13" s="57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ht="21" customHeight="1" x14ac:dyDescent="0.25">
      <c r="B14" s="164"/>
      <c r="C14" s="46"/>
      <c r="D14" s="45"/>
      <c r="E14" s="45"/>
      <c r="F14" s="166"/>
      <c r="G14" s="45"/>
      <c r="H14" s="45"/>
      <c r="I14" s="45"/>
      <c r="J14" s="45"/>
      <c r="K14" s="45"/>
      <c r="L14" s="167"/>
      <c r="N14" s="175" t="s">
        <v>12</v>
      </c>
      <c r="O14" s="76"/>
      <c r="P14" s="77">
        <f>SUMIFS(D7:D48,L7:L48,"Företagsekonomi")+SUMIFS(D7:D48,L7:L48,"Nationalekonomi")+SUMIFS(D7:D48,L7:L48,"Bioekonomimanagement")</f>
        <v>0</v>
      </c>
      <c r="Q14" s="77">
        <v>30</v>
      </c>
      <c r="R14" s="78">
        <f t="shared" si="0"/>
        <v>30</v>
      </c>
      <c r="T14" s="202">
        <f t="shared" si="1"/>
        <v>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2:62" ht="21" customHeight="1" thickBot="1" x14ac:dyDescent="0.3">
      <c r="B15" s="164"/>
      <c r="C15" s="46"/>
      <c r="D15" s="45"/>
      <c r="E15" s="45"/>
      <c r="F15" s="166"/>
      <c r="G15" s="45"/>
      <c r="H15" s="45"/>
      <c r="I15" s="45"/>
      <c r="J15" s="45"/>
      <c r="K15" s="45"/>
      <c r="L15" s="167"/>
      <c r="N15" s="178" t="s">
        <v>2</v>
      </c>
      <c r="O15" s="179"/>
      <c r="P15" s="180">
        <f>SUMIFS(D7:D48,L7:L48,"Företagsekonomi")</f>
        <v>0</v>
      </c>
      <c r="Q15" s="180">
        <v>15</v>
      </c>
      <c r="R15" s="206">
        <f t="shared" si="0"/>
        <v>15</v>
      </c>
      <c r="T15" s="57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2:62" ht="21" customHeight="1" x14ac:dyDescent="0.35">
      <c r="B16" s="164"/>
      <c r="C16" s="46"/>
      <c r="D16" s="45"/>
      <c r="E16" s="45"/>
      <c r="F16" s="166"/>
      <c r="G16" s="45"/>
      <c r="H16" s="45"/>
      <c r="I16" s="45"/>
      <c r="J16" s="45"/>
      <c r="K16" s="45"/>
      <c r="L16" s="167"/>
      <c r="N16" s="358" t="s">
        <v>56</v>
      </c>
      <c r="O16" s="359"/>
      <c r="P16" s="359"/>
      <c r="Q16" s="359"/>
      <c r="R16" s="360" t="s">
        <v>54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21" customHeight="1" x14ac:dyDescent="0.3">
      <c r="B17" s="164"/>
      <c r="C17" s="46"/>
      <c r="D17" s="45"/>
      <c r="E17" s="45"/>
      <c r="F17" s="166"/>
      <c r="G17" s="45"/>
      <c r="H17" s="45"/>
      <c r="I17" s="45"/>
      <c r="J17" s="45"/>
      <c r="K17" s="45"/>
      <c r="L17" s="167"/>
      <c r="N17" s="181" t="s">
        <v>38</v>
      </c>
      <c r="O17" s="86"/>
      <c r="P17" s="86" t="s">
        <v>1</v>
      </c>
      <c r="Q17" s="86" t="s">
        <v>14</v>
      </c>
      <c r="R17" s="361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2:62" ht="21" customHeight="1" x14ac:dyDescent="0.25">
      <c r="B18" s="164"/>
      <c r="C18" s="46"/>
      <c r="D18" s="45"/>
      <c r="E18" s="45"/>
      <c r="F18" s="166"/>
      <c r="G18" s="45"/>
      <c r="H18" s="45"/>
      <c r="I18" s="45"/>
      <c r="J18" s="45"/>
      <c r="K18" s="45"/>
      <c r="L18" s="167"/>
      <c r="N18" s="182" t="s">
        <v>57</v>
      </c>
      <c r="O18" s="183"/>
      <c r="P18" s="204">
        <f>SUM(D7:D48)-(T6+T12+T14)-SUMIFS(D7:D48,L7:L48,"Annat ämne")</f>
        <v>0</v>
      </c>
      <c r="Q18" s="184">
        <v>105</v>
      </c>
      <c r="R18" s="207">
        <f>IF((Q18-P18)&lt;0,0,SUM(Q18-P18))</f>
        <v>105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2:62" ht="21" customHeight="1" x14ac:dyDescent="0.25">
      <c r="B19" s="164"/>
      <c r="C19" s="46"/>
      <c r="D19" s="45"/>
      <c r="E19" s="45"/>
      <c r="F19" s="166"/>
      <c r="G19" s="45"/>
      <c r="H19" s="45"/>
      <c r="I19" s="45"/>
      <c r="J19" s="45"/>
      <c r="K19" s="45"/>
      <c r="L19" s="167"/>
      <c r="N19" s="185" t="s">
        <v>35</v>
      </c>
      <c r="O19" s="87"/>
      <c r="P19" s="88">
        <f>SUMIFS(D7:D48,E7:E48,"G2E")</f>
        <v>0</v>
      </c>
      <c r="Q19" s="88">
        <v>15</v>
      </c>
      <c r="R19" s="78">
        <f t="shared" ref="R19:R26" si="2">IF((Q19-P19)&lt;0,0,SUM(Q19-P19))</f>
        <v>15</v>
      </c>
      <c r="V19" s="126"/>
      <c r="W19" s="126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2:62" ht="21" customHeight="1" x14ac:dyDescent="0.25">
      <c r="B20" s="164"/>
      <c r="C20" s="46"/>
      <c r="D20" s="45"/>
      <c r="E20" s="45"/>
      <c r="F20" s="166"/>
      <c r="G20" s="45"/>
      <c r="H20" s="45"/>
      <c r="I20" s="45"/>
      <c r="J20" s="45"/>
      <c r="K20" s="45"/>
      <c r="L20" s="167"/>
      <c r="N20" s="185" t="s">
        <v>62</v>
      </c>
      <c r="O20" s="87"/>
      <c r="P20" s="88">
        <f>SUMIFS(D7:D48,E7:E48,"A1N")+SUMIFS(D7:D48,E7:E48,"A1F")+SUMIFS(D7:D48,E7:E48,"A2E")</f>
        <v>0</v>
      </c>
      <c r="Q20" s="88">
        <v>90</v>
      </c>
      <c r="R20" s="78">
        <f>IF((Q20-P20)&lt;0,0,SUM(Q20-P20))</f>
        <v>90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2:62" ht="21" customHeight="1" x14ac:dyDescent="0.25">
      <c r="B21" s="164"/>
      <c r="C21" s="46"/>
      <c r="D21" s="45"/>
      <c r="E21" s="45"/>
      <c r="F21" s="166"/>
      <c r="G21" s="45"/>
      <c r="H21" s="45"/>
      <c r="I21" s="45"/>
      <c r="J21" s="45"/>
      <c r="K21" s="45"/>
      <c r="L21" s="167"/>
      <c r="N21" s="182" t="s">
        <v>74</v>
      </c>
      <c r="O21" s="87"/>
      <c r="P21" s="88"/>
      <c r="Q21" s="88"/>
      <c r="R21" s="78"/>
      <c r="U21" s="343" t="s">
        <v>58</v>
      </c>
      <c r="V21" s="344"/>
      <c r="W21" s="345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2:62" ht="21" customHeight="1" x14ac:dyDescent="0.25">
      <c r="B22" s="164"/>
      <c r="C22" s="46"/>
      <c r="D22" s="45"/>
      <c r="E22" s="45"/>
      <c r="F22" s="166"/>
      <c r="G22" s="45"/>
      <c r="H22" s="45"/>
      <c r="I22" s="45"/>
      <c r="J22" s="45"/>
      <c r="K22" s="45"/>
      <c r="L22" s="167"/>
      <c r="N22" s="186" t="s">
        <v>42</v>
      </c>
      <c r="O22" s="87"/>
      <c r="P22" s="90">
        <f>SUMIFS(D7:D48,L7:L48,"Biologi",E7:E48,"A1N")+SUMIFS(D7:D48,L7:L48,"Biologi",E7:E48,"A1F")+SUMIFS(D7:D48,L7:L48,"Biologi",E7:E48,"A2E")</f>
        <v>0</v>
      </c>
      <c r="Q22" s="90">
        <v>60</v>
      </c>
      <c r="R22" s="78">
        <f t="shared" si="2"/>
        <v>60</v>
      </c>
      <c r="U22" s="346"/>
      <c r="V22" s="347"/>
      <c r="W22" s="348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2:62" ht="21" customHeight="1" x14ac:dyDescent="0.25">
      <c r="B23" s="164"/>
      <c r="C23" s="46"/>
      <c r="D23" s="45"/>
      <c r="E23" s="45"/>
      <c r="F23" s="166"/>
      <c r="G23" s="45"/>
      <c r="H23" s="45"/>
      <c r="I23" s="45"/>
      <c r="J23" s="45"/>
      <c r="K23" s="45"/>
      <c r="L23" s="167"/>
      <c r="N23" s="186" t="s">
        <v>4</v>
      </c>
      <c r="O23" s="87"/>
      <c r="P23" s="90">
        <f>SUMIFS(D7:D48,L7:L48,"Skogsbruksvetenskap",E7:E48,"A1N")+SUMIFS(D7:D48,L7:L48,"Skogsbruksvetenskap",E7:E48,"A1F")+SUMIFS(D7:D48,L7:L48,"Skogsbruksvetenskap",E7:E48,"A2E")</f>
        <v>0</v>
      </c>
      <c r="Q23" s="90">
        <v>60</v>
      </c>
      <c r="R23" s="78">
        <f t="shared" si="2"/>
        <v>60</v>
      </c>
      <c r="U23" s="346"/>
      <c r="V23" s="347"/>
      <c r="W23" s="348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2:62" ht="21" customHeight="1" x14ac:dyDescent="0.25">
      <c r="B24" s="164"/>
      <c r="C24" s="46"/>
      <c r="D24" s="45"/>
      <c r="E24" s="45"/>
      <c r="F24" s="166"/>
      <c r="G24" s="45"/>
      <c r="H24" s="165"/>
      <c r="I24" s="165"/>
      <c r="J24" s="165"/>
      <c r="K24" s="165"/>
      <c r="L24" s="167"/>
      <c r="N24" s="186" t="s">
        <v>2</v>
      </c>
      <c r="O24" s="87"/>
      <c r="P24" s="90">
        <f>SUMIFS(D7:D48,L7:L48,"Företagsekonomi",E7:E48,"A1N")+SUMIFS(D7:D48,L7:L48,"Företagsekonomi",E7:E48,"A1F")+SUMIFS(D7:D48,L7:L48,"Företagsekonomi",E7:E48,"A2E")</f>
        <v>0</v>
      </c>
      <c r="Q24" s="90">
        <v>60</v>
      </c>
      <c r="R24" s="78">
        <f t="shared" si="2"/>
        <v>60</v>
      </c>
      <c r="U24" s="346"/>
      <c r="V24" s="347"/>
      <c r="W24" s="348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2:62" ht="21" customHeight="1" x14ac:dyDescent="0.25">
      <c r="B25" s="164"/>
      <c r="C25" s="46"/>
      <c r="D25" s="45"/>
      <c r="E25" s="45"/>
      <c r="F25" s="166"/>
      <c r="G25" s="45"/>
      <c r="H25" s="165"/>
      <c r="I25" s="165"/>
      <c r="J25" s="165"/>
      <c r="K25" s="165"/>
      <c r="L25" s="167"/>
      <c r="N25" s="186" t="s">
        <v>34</v>
      </c>
      <c r="O25" s="87"/>
      <c r="P25" s="90">
        <f>SUMIFS(D7:D48,L7:L48,"Bioekonomimanagement",E7:E48,"A1N")+SUMIFS(D7:D48,L7:L48,"Bioekonomimanagement",E7:E48,"A1F")+SUMIFS(D7:D48,L7:L48,"Bioekonomimanagement",E7:E48,"A2E")</f>
        <v>0</v>
      </c>
      <c r="Q25" s="90">
        <v>60</v>
      </c>
      <c r="R25" s="78">
        <f t="shared" si="2"/>
        <v>60</v>
      </c>
      <c r="U25" s="346"/>
      <c r="V25" s="347"/>
      <c r="W25" s="348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2:62" ht="21" customHeight="1" thickBot="1" x14ac:dyDescent="0.3">
      <c r="B26" s="164"/>
      <c r="C26" s="46"/>
      <c r="D26" s="45"/>
      <c r="E26" s="45"/>
      <c r="F26" s="166"/>
      <c r="G26" s="45"/>
      <c r="H26" s="46"/>
      <c r="I26" s="46"/>
      <c r="J26" s="46"/>
      <c r="K26" s="46"/>
      <c r="L26" s="167"/>
      <c r="N26" s="187" t="s">
        <v>71</v>
      </c>
      <c r="O26" s="188"/>
      <c r="P26" s="93">
        <f>SUMIFS(D7:D48,E7:E48,"A2E")</f>
        <v>0</v>
      </c>
      <c r="Q26" s="189">
        <v>30</v>
      </c>
      <c r="R26" s="206">
        <f t="shared" si="2"/>
        <v>30</v>
      </c>
      <c r="U26" s="346"/>
      <c r="V26" s="347"/>
      <c r="W26" s="348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2:62" ht="21" customHeight="1" thickBot="1" x14ac:dyDescent="0.35">
      <c r="B27" s="164"/>
      <c r="C27" s="46"/>
      <c r="D27" s="45"/>
      <c r="E27" s="45"/>
      <c r="F27" s="166"/>
      <c r="G27" s="45"/>
      <c r="H27" s="46"/>
      <c r="I27" s="169"/>
      <c r="J27" s="169"/>
      <c r="K27" s="144"/>
      <c r="L27" s="167"/>
      <c r="N27" s="190" t="s">
        <v>68</v>
      </c>
      <c r="O27" s="191"/>
      <c r="P27" s="192">
        <f>SUM(D7:D48)</f>
        <v>0</v>
      </c>
      <c r="Q27" s="192">
        <v>300</v>
      </c>
      <c r="R27" s="193">
        <f>IF((Q27-P27)&lt;0,0,SUM(Q27-P27))</f>
        <v>300</v>
      </c>
      <c r="U27" s="349"/>
      <c r="V27" s="350"/>
      <c r="W27" s="351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2:62" ht="21" customHeight="1" x14ac:dyDescent="0.25">
      <c r="B28" s="164"/>
      <c r="C28" s="46"/>
      <c r="D28" s="45"/>
      <c r="E28" s="45"/>
      <c r="F28" s="166"/>
      <c r="G28" s="45"/>
      <c r="H28" s="46"/>
      <c r="I28" s="169"/>
      <c r="J28" s="169"/>
      <c r="K28" s="144"/>
      <c r="L28" s="167"/>
      <c r="N28" s="170"/>
      <c r="O28" s="170"/>
      <c r="P28" s="25"/>
      <c r="Q28" s="171"/>
      <c r="R28" s="50"/>
      <c r="V28" s="126"/>
      <c r="W28" s="126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2:62" ht="21" customHeight="1" x14ac:dyDescent="0.25">
      <c r="B29" s="164"/>
      <c r="C29" s="46"/>
      <c r="D29" s="45"/>
      <c r="E29" s="45"/>
      <c r="F29" s="166"/>
      <c r="G29" s="45"/>
      <c r="H29" s="46"/>
      <c r="I29" s="169"/>
      <c r="J29" s="169"/>
      <c r="K29" s="144"/>
      <c r="L29" s="167"/>
      <c r="N29" s="170"/>
      <c r="O29" s="170"/>
      <c r="P29" s="25"/>
      <c r="Q29" s="171"/>
      <c r="R29" s="50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2:62" ht="21" customHeight="1" x14ac:dyDescent="0.25">
      <c r="B30" s="164"/>
      <c r="C30" s="46"/>
      <c r="D30" s="45"/>
      <c r="E30" s="45"/>
      <c r="F30" s="166"/>
      <c r="G30" s="45"/>
      <c r="H30" s="46"/>
      <c r="I30" s="169"/>
      <c r="J30" s="169"/>
      <c r="K30" s="144"/>
      <c r="L30" s="167"/>
      <c r="N30" s="170"/>
      <c r="O30" s="170"/>
      <c r="P30" s="25"/>
      <c r="Q30" s="171"/>
      <c r="R30" s="50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2" ht="21" customHeight="1" x14ac:dyDescent="0.25">
      <c r="B31" s="164"/>
      <c r="C31" s="46"/>
      <c r="D31" s="45"/>
      <c r="E31" s="45"/>
      <c r="F31" s="166"/>
      <c r="G31" s="45"/>
      <c r="H31" s="46"/>
      <c r="I31" s="169"/>
      <c r="J31" s="169"/>
      <c r="K31" s="144"/>
      <c r="L31" s="167"/>
      <c r="N31" s="170"/>
      <c r="O31" s="170"/>
      <c r="P31" s="25"/>
      <c r="Q31" s="171"/>
      <c r="R31" s="50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2:62" ht="21" customHeight="1" x14ac:dyDescent="0.25">
      <c r="B32" s="164"/>
      <c r="C32" s="46"/>
      <c r="D32" s="45"/>
      <c r="E32" s="45"/>
      <c r="F32" s="166"/>
      <c r="G32" s="45"/>
      <c r="H32" s="46"/>
      <c r="I32" s="46"/>
      <c r="J32" s="46"/>
      <c r="K32" s="46"/>
      <c r="L32" s="167"/>
      <c r="N32" s="170"/>
      <c r="O32" s="170"/>
      <c r="P32" s="25"/>
      <c r="Q32" s="171"/>
      <c r="R32" s="50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2" ht="21" customHeight="1" x14ac:dyDescent="0.25">
      <c r="B33" s="212"/>
      <c r="C33" s="210"/>
      <c r="D33" s="45"/>
      <c r="E33" s="45"/>
      <c r="F33" s="166"/>
      <c r="G33" s="45"/>
      <c r="H33" s="210"/>
      <c r="I33" s="210"/>
      <c r="J33" s="210"/>
      <c r="K33" s="210"/>
      <c r="L33" s="167"/>
      <c r="N33" s="170"/>
      <c r="O33" s="170"/>
      <c r="P33" s="25"/>
      <c r="Q33" s="171"/>
      <c r="R33" s="50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2:62" ht="21" customHeight="1" x14ac:dyDescent="0.25">
      <c r="B34" s="212"/>
      <c r="C34" s="210"/>
      <c r="D34" s="45"/>
      <c r="E34" s="45"/>
      <c r="F34" s="166"/>
      <c r="G34" s="45"/>
      <c r="H34" s="210"/>
      <c r="I34" s="210"/>
      <c r="J34" s="210"/>
      <c r="K34" s="210"/>
      <c r="L34" s="167"/>
      <c r="N34" s="170"/>
      <c r="O34" s="170"/>
      <c r="P34" s="25"/>
      <c r="Q34" s="171"/>
      <c r="R34" s="50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2:62" ht="19.5" customHeight="1" x14ac:dyDescent="0.25">
      <c r="B35" s="213"/>
      <c r="C35" s="209"/>
      <c r="D35" s="45"/>
      <c r="E35" s="45"/>
      <c r="F35" s="166"/>
      <c r="G35" s="45"/>
      <c r="H35" s="211"/>
      <c r="I35" s="211"/>
      <c r="J35" s="211"/>
      <c r="K35" s="208"/>
      <c r="L35" s="167"/>
      <c r="N35" s="4"/>
      <c r="O35" s="4"/>
      <c r="P35" s="4"/>
      <c r="Q35" s="4"/>
      <c r="R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2:62" ht="22.5" customHeight="1" x14ac:dyDescent="0.25">
      <c r="B36" s="213"/>
      <c r="C36" s="209"/>
      <c r="D36" s="45"/>
      <c r="E36" s="45"/>
      <c r="F36" s="166"/>
      <c r="G36" s="45"/>
      <c r="H36" s="209"/>
      <c r="I36" s="208"/>
      <c r="J36" s="209"/>
      <c r="K36" s="208"/>
      <c r="L36" s="167"/>
      <c r="N36" s="4"/>
      <c r="O36" s="4"/>
      <c r="P36" s="4"/>
      <c r="Q36" s="4"/>
      <c r="R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2:62" ht="21" customHeight="1" x14ac:dyDescent="0.25">
      <c r="B37" s="164"/>
      <c r="C37" s="46"/>
      <c r="D37" s="45"/>
      <c r="E37" s="45"/>
      <c r="F37" s="166"/>
      <c r="G37" s="45"/>
      <c r="H37" s="47"/>
      <c r="I37" s="47"/>
      <c r="J37" s="47"/>
      <c r="K37" s="47"/>
      <c r="L37" s="167"/>
      <c r="N37" s="4"/>
      <c r="O37" s="4"/>
      <c r="P37" s="4"/>
      <c r="Q37" s="4"/>
      <c r="R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2:62" ht="21" customHeight="1" x14ac:dyDescent="0.25">
      <c r="B38" s="164"/>
      <c r="C38" s="46"/>
      <c r="D38" s="45"/>
      <c r="E38" s="45"/>
      <c r="F38" s="166"/>
      <c r="G38" s="45"/>
      <c r="H38" s="47"/>
      <c r="I38" s="47"/>
      <c r="J38" s="47"/>
      <c r="K38" s="47"/>
      <c r="L38" s="167"/>
      <c r="N38" s="4"/>
      <c r="O38" s="4"/>
      <c r="P38" s="4"/>
      <c r="Q38" s="4"/>
      <c r="R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2:62" ht="21" customHeight="1" x14ac:dyDescent="0.25">
      <c r="B39" s="164"/>
      <c r="C39" s="46"/>
      <c r="D39" s="45"/>
      <c r="E39" s="45"/>
      <c r="F39" s="166"/>
      <c r="G39" s="45"/>
      <c r="H39" s="47"/>
      <c r="I39" s="47"/>
      <c r="J39" s="47"/>
      <c r="K39" s="47"/>
      <c r="L39" s="167"/>
      <c r="N39" s="4"/>
      <c r="O39" s="4"/>
      <c r="P39" s="4"/>
      <c r="Q39" s="4"/>
      <c r="R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62" ht="21" customHeight="1" x14ac:dyDescent="0.25">
      <c r="B40" s="164"/>
      <c r="C40" s="46"/>
      <c r="D40" s="45"/>
      <c r="E40" s="45"/>
      <c r="F40" s="166"/>
      <c r="G40" s="45"/>
      <c r="H40" s="47"/>
      <c r="I40" s="47"/>
      <c r="J40" s="47"/>
      <c r="K40" s="47"/>
      <c r="L40" s="167"/>
      <c r="N40" s="4"/>
      <c r="O40" s="4"/>
      <c r="P40" s="4"/>
      <c r="Q40" s="4"/>
      <c r="R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2:62" ht="21" customHeight="1" x14ac:dyDescent="0.25">
      <c r="B41" s="164"/>
      <c r="C41" s="46"/>
      <c r="D41" s="45"/>
      <c r="E41" s="45"/>
      <c r="F41" s="166"/>
      <c r="G41" s="45"/>
      <c r="H41" s="47"/>
      <c r="I41" s="47"/>
      <c r="J41" s="47"/>
      <c r="K41" s="47"/>
      <c r="L41" s="167"/>
      <c r="N41" s="4"/>
      <c r="O41" s="4"/>
      <c r="P41" s="4"/>
      <c r="Q41" s="4"/>
      <c r="R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2:62" ht="21" customHeight="1" x14ac:dyDescent="0.25">
      <c r="B42" s="164"/>
      <c r="C42" s="46"/>
      <c r="D42" s="45"/>
      <c r="E42" s="45"/>
      <c r="F42" s="166"/>
      <c r="G42" s="45"/>
      <c r="H42" s="47"/>
      <c r="I42" s="47"/>
      <c r="J42" s="47"/>
      <c r="K42" s="47"/>
      <c r="L42" s="167"/>
      <c r="N42" s="4"/>
      <c r="O42" s="4"/>
      <c r="P42" s="4"/>
      <c r="Q42" s="4"/>
      <c r="R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2:62" ht="21" customHeight="1" x14ac:dyDescent="0.25">
      <c r="B43" s="164"/>
      <c r="C43" s="46"/>
      <c r="D43" s="45"/>
      <c r="E43" s="45"/>
      <c r="F43" s="166"/>
      <c r="G43" s="45"/>
      <c r="H43" s="47"/>
      <c r="I43" s="47"/>
      <c r="J43" s="47"/>
      <c r="K43" s="47"/>
      <c r="L43" s="167"/>
      <c r="N43" s="4"/>
      <c r="O43" s="4"/>
      <c r="P43" s="4"/>
      <c r="Q43" s="4"/>
      <c r="R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2:62" ht="21" customHeight="1" x14ac:dyDescent="0.25">
      <c r="B44" s="164"/>
      <c r="C44" s="46"/>
      <c r="D44" s="45"/>
      <c r="E44" s="45"/>
      <c r="F44" s="166"/>
      <c r="G44" s="45"/>
      <c r="H44" s="47"/>
      <c r="I44" s="47"/>
      <c r="J44" s="47"/>
      <c r="K44" s="47"/>
      <c r="L44" s="167"/>
      <c r="N44" s="4"/>
      <c r="O44" s="4"/>
      <c r="P44" s="4"/>
      <c r="Q44" s="4"/>
      <c r="R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2:62" ht="21" customHeight="1" x14ac:dyDescent="0.25">
      <c r="B45" s="164"/>
      <c r="C45" s="46"/>
      <c r="D45" s="45"/>
      <c r="E45" s="45"/>
      <c r="F45" s="166"/>
      <c r="G45" s="45"/>
      <c r="H45" s="47"/>
      <c r="I45" s="47"/>
      <c r="J45" s="47"/>
      <c r="K45" s="47"/>
      <c r="L45" s="167"/>
      <c r="N45" s="4"/>
      <c r="O45" s="4"/>
      <c r="P45" s="4"/>
      <c r="Q45" s="4"/>
      <c r="R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2:62" ht="21" customHeight="1" x14ac:dyDescent="0.25">
      <c r="B46" s="164"/>
      <c r="C46" s="46"/>
      <c r="D46" s="45"/>
      <c r="E46" s="45"/>
      <c r="F46" s="166"/>
      <c r="G46" s="45"/>
      <c r="H46" s="47"/>
      <c r="I46" s="47"/>
      <c r="J46" s="47"/>
      <c r="K46" s="47"/>
      <c r="L46" s="167"/>
      <c r="N46" s="4"/>
      <c r="O46" s="4"/>
      <c r="P46" s="4"/>
      <c r="Q46" s="4"/>
      <c r="R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2:62" ht="21" customHeight="1" x14ac:dyDescent="0.25">
      <c r="B47" s="164"/>
      <c r="C47" s="46"/>
      <c r="D47" s="45"/>
      <c r="E47" s="45"/>
      <c r="F47" s="166"/>
      <c r="G47" s="45"/>
      <c r="H47" s="47"/>
      <c r="I47" s="47"/>
      <c r="J47" s="47"/>
      <c r="K47" s="47"/>
      <c r="L47" s="167"/>
      <c r="N47" s="4"/>
      <c r="O47" s="4"/>
      <c r="P47" s="4"/>
      <c r="Q47" s="4"/>
      <c r="R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2:62" ht="21" customHeight="1" thickBot="1" x14ac:dyDescent="0.3">
      <c r="B48" s="172"/>
      <c r="C48" s="53"/>
      <c r="D48" s="52"/>
      <c r="E48" s="52"/>
      <c r="F48" s="53"/>
      <c r="G48" s="52"/>
      <c r="H48" s="54"/>
      <c r="I48" s="54"/>
      <c r="J48" s="54"/>
      <c r="K48" s="54"/>
      <c r="L48" s="55"/>
      <c r="N48" s="4"/>
      <c r="O48" s="4"/>
      <c r="P48" s="4"/>
      <c r="Q48" s="4"/>
      <c r="R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2:62" ht="21" customHeight="1" x14ac:dyDescent="0.25">
      <c r="B49" s="4"/>
      <c r="C49" s="4"/>
      <c r="D49" s="56"/>
      <c r="E49" s="56"/>
      <c r="F49" s="4"/>
      <c r="G49" s="4"/>
      <c r="H49" s="4"/>
      <c r="I49" s="4"/>
      <c r="J49" s="4"/>
      <c r="K49" s="4"/>
      <c r="L49" s="4"/>
      <c r="N49" s="4"/>
      <c r="O49" s="4"/>
      <c r="P49" s="4"/>
      <c r="Q49" s="4"/>
      <c r="R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2:62" ht="21" customHeigh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N50" s="4"/>
      <c r="O50" s="4"/>
      <c r="P50" s="4"/>
      <c r="Q50" s="4"/>
      <c r="R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2:62" ht="21" customHeight="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N51" s="4"/>
      <c r="O51" s="4"/>
      <c r="P51" s="4"/>
      <c r="Q51" s="4"/>
      <c r="R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2:62" ht="17.25" customHeight="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N52" s="4"/>
      <c r="O52" s="4"/>
      <c r="P52" s="4"/>
      <c r="Q52" s="4"/>
      <c r="R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2:62" ht="17.25" customHeight="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N53" s="4"/>
      <c r="O53" s="4"/>
      <c r="P53" s="4"/>
      <c r="Q53" s="4"/>
      <c r="R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2:62" ht="17.25" customHeight="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N54" s="4"/>
      <c r="O54" s="4"/>
      <c r="P54" s="4"/>
      <c r="Q54" s="4"/>
      <c r="R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2:62" ht="17.25" customHeight="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N55" s="4"/>
      <c r="O55" s="4"/>
      <c r="P55" s="4"/>
      <c r="Q55" s="4"/>
      <c r="R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2:62" ht="17.25" customHeight="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N56" s="4"/>
      <c r="O56" s="4"/>
      <c r="P56" s="4"/>
      <c r="Q56" s="4"/>
      <c r="R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2:62" ht="17.25" customHeight="1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N57" s="4"/>
      <c r="O57" s="4"/>
      <c r="P57" s="4"/>
      <c r="Q57" s="4"/>
      <c r="R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2:62" ht="17.25" customHeight="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N58" s="4"/>
      <c r="O58" s="4"/>
      <c r="P58" s="4"/>
      <c r="Q58" s="4"/>
      <c r="R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2:62" ht="17.25" customHeight="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N59" s="4"/>
      <c r="O59" s="4"/>
      <c r="P59" s="4"/>
      <c r="Q59" s="4"/>
      <c r="R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2:62" ht="17.25" customHeight="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N60" s="4"/>
      <c r="O60" s="4"/>
      <c r="P60" s="4"/>
      <c r="Q60" s="4"/>
      <c r="R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2:62" ht="17.25" customHeight="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N61" s="4"/>
      <c r="O61" s="4"/>
      <c r="P61" s="4"/>
      <c r="Q61" s="4"/>
      <c r="R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2:62" ht="21.75" customHeigh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N62" s="4"/>
      <c r="O62" s="4"/>
      <c r="P62" s="4"/>
      <c r="Q62" s="4"/>
      <c r="R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2:62" ht="17.25" customHeight="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N63" s="4"/>
      <c r="O63" s="4"/>
      <c r="P63" s="4"/>
      <c r="Q63" s="4"/>
      <c r="R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2:62" ht="17.25" customHeight="1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N64" s="4"/>
      <c r="O64" s="4"/>
      <c r="P64" s="4"/>
      <c r="Q64" s="4"/>
      <c r="R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2:54" ht="17.25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N65" s="4"/>
      <c r="O65" s="4"/>
      <c r="P65" s="4"/>
      <c r="Q65" s="4"/>
      <c r="R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2:54" ht="17.25" customHeight="1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N66" s="4"/>
      <c r="O66" s="4"/>
      <c r="P66" s="4"/>
      <c r="Q66" s="4"/>
      <c r="R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2:54" ht="17.25" customHeight="1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N67" s="4"/>
      <c r="O67" s="4"/>
      <c r="P67" s="4"/>
      <c r="Q67" s="4"/>
      <c r="R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2:54" ht="17.25" customHeigh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N68" s="4"/>
      <c r="O68" s="4"/>
      <c r="P68" s="4"/>
      <c r="Q68" s="4"/>
      <c r="R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2:54" ht="17.25" customHeight="1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57"/>
      <c r="N69" s="57"/>
      <c r="O69" s="4"/>
      <c r="P69" s="4"/>
      <c r="Q69" s="4"/>
      <c r="R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2:54" ht="17.25" customHeight="1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57"/>
      <c r="N70" s="57"/>
      <c r="O70" s="4"/>
      <c r="P70" s="4"/>
      <c r="Q70" s="4"/>
      <c r="R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</row>
    <row r="71" spans="2:54" ht="17.25" customHeight="1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57"/>
      <c r="N71" s="57"/>
      <c r="O71" s="4"/>
      <c r="P71" s="4"/>
      <c r="Q71" s="4"/>
      <c r="R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</row>
    <row r="72" spans="2:54" ht="17.25" customHeight="1" x14ac:dyDescent="0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57"/>
      <c r="N72" s="57"/>
      <c r="O72" s="4"/>
      <c r="P72" s="4"/>
      <c r="Q72" s="4"/>
      <c r="R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2:54" ht="17.25" customHeight="1" x14ac:dyDescent="0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57">
        <v>7.5</v>
      </c>
      <c r="N73" s="57" t="s">
        <v>20</v>
      </c>
      <c r="O73" s="4"/>
      <c r="P73" s="4"/>
      <c r="Q73" s="4"/>
      <c r="R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</row>
    <row r="74" spans="2:54" ht="17.25" customHeight="1" x14ac:dyDescent="0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57">
        <v>15</v>
      </c>
      <c r="N74" s="57" t="s">
        <v>21</v>
      </c>
      <c r="O74" s="4"/>
      <c r="P74" s="4"/>
      <c r="Q74" s="4"/>
      <c r="R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</row>
    <row r="75" spans="2:54" ht="17.25" customHeight="1" x14ac:dyDescent="0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57">
        <v>30</v>
      </c>
      <c r="N75" s="57" t="s">
        <v>17</v>
      </c>
      <c r="O75" s="4"/>
      <c r="P75" s="4"/>
      <c r="Q75" s="4"/>
      <c r="R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2:54" ht="17.25" customHeight="1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57">
        <v>60</v>
      </c>
      <c r="N76" s="57" t="s">
        <v>18</v>
      </c>
      <c r="O76" s="4"/>
      <c r="P76" s="4"/>
      <c r="Q76" s="4"/>
      <c r="R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</row>
    <row r="77" spans="2:54" ht="17.25" customHeight="1" x14ac:dyDescent="0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57"/>
      <c r="N77" s="57" t="s">
        <v>19</v>
      </c>
      <c r="O77" s="4"/>
      <c r="P77" s="4"/>
      <c r="Q77" s="4"/>
      <c r="R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</row>
    <row r="78" spans="2:54" ht="17.25" customHeight="1" x14ac:dyDescent="0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57"/>
      <c r="N78" s="57" t="s">
        <v>22</v>
      </c>
      <c r="O78" s="4"/>
      <c r="P78" s="4"/>
      <c r="Q78" s="4"/>
      <c r="R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2:54" ht="17.25" customHeight="1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57"/>
      <c r="N79" s="57" t="s">
        <v>43</v>
      </c>
      <c r="O79" s="4"/>
      <c r="P79" s="4"/>
      <c r="Q79" s="4"/>
      <c r="R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2:54" ht="17.25" customHeigh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57"/>
      <c r="N80" s="57"/>
      <c r="O80" s="4"/>
      <c r="P80" s="4"/>
      <c r="Q80" s="4"/>
      <c r="R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2:54" ht="17.25" customHeight="1" x14ac:dyDescent="0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57"/>
      <c r="N81" s="57"/>
      <c r="O81" s="4"/>
      <c r="P81" s="4"/>
      <c r="Q81" s="4"/>
      <c r="R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2:54" ht="17.25" customHeight="1" x14ac:dyDescent="0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57"/>
      <c r="N82" s="57"/>
      <c r="O82" s="4"/>
      <c r="P82" s="4"/>
      <c r="Q82" s="4"/>
      <c r="R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2:54" ht="17.25" customHeight="1" x14ac:dyDescent="0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57"/>
      <c r="N83" s="57"/>
      <c r="O83" s="4"/>
      <c r="P83" s="4"/>
      <c r="Q83" s="4"/>
      <c r="R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2:54" ht="17.25" customHeight="1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57"/>
      <c r="N84" s="57"/>
      <c r="O84" s="4"/>
      <c r="P84" s="4"/>
      <c r="Q84" s="4"/>
      <c r="R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2:54" ht="17.25" customHeight="1" x14ac:dyDescent="0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N85" s="4"/>
      <c r="O85" s="4"/>
      <c r="P85" s="4"/>
      <c r="Q85" s="4"/>
      <c r="R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2:54" ht="17.25" customHeight="1" x14ac:dyDescent="0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N86" s="4"/>
      <c r="O86" s="4"/>
      <c r="P86" s="4"/>
      <c r="Q86" s="4"/>
      <c r="R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2:54" ht="17.25" customHeight="1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N87" s="4"/>
      <c r="O87" s="4"/>
      <c r="P87" s="4"/>
      <c r="Q87" s="4"/>
      <c r="R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</row>
    <row r="88" spans="2:54" ht="17.25" customHeight="1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N88" s="4"/>
      <c r="O88" s="4"/>
      <c r="P88" s="4"/>
      <c r="Q88" s="4"/>
      <c r="R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2:54" ht="17.25" customHeight="1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N89" s="4"/>
      <c r="O89" s="4"/>
      <c r="P89" s="4"/>
      <c r="Q89" s="4"/>
      <c r="R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</row>
    <row r="90" spans="2:54" ht="17.25" customHeight="1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N90" s="4"/>
      <c r="O90" s="4"/>
      <c r="P90" s="4"/>
      <c r="Q90" s="4"/>
      <c r="R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</row>
    <row r="91" spans="2:54" ht="17.25" customHeight="1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N91" s="4"/>
      <c r="O91" s="4"/>
      <c r="P91" s="4"/>
      <c r="Q91" s="4"/>
      <c r="R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</row>
    <row r="92" spans="2:54" ht="17.25" customHeight="1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N92" s="4"/>
      <c r="O92" s="4"/>
      <c r="P92" s="4"/>
      <c r="Q92" s="4"/>
      <c r="R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</row>
    <row r="93" spans="2:54" ht="17.25" customHeight="1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N93" s="4"/>
      <c r="O93" s="4"/>
      <c r="P93" s="4"/>
      <c r="Q93" s="4"/>
      <c r="R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</row>
    <row r="94" spans="2:54" ht="17.25" customHeight="1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54" ht="17.25" customHeight="1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54" ht="17.25" customHeight="1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ht="17.25" customHeight="1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ht="17.25" customHeight="1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ht="17.25" customHeight="1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ht="17.25" customHeight="1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ht="17.25" customHeight="1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ht="17.25" customHeight="1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ht="17.25" customHeight="1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</sheetData>
  <sheetProtection sheet="1" objects="1" scenarios="1"/>
  <mergeCells count="13">
    <mergeCell ref="U21:W27"/>
    <mergeCell ref="C5:G5"/>
    <mergeCell ref="B1:L2"/>
    <mergeCell ref="N3:R3"/>
    <mergeCell ref="R4:R5"/>
    <mergeCell ref="N16:Q16"/>
    <mergeCell ref="R16:R17"/>
    <mergeCell ref="N4:Q4"/>
    <mergeCell ref="B3:L4"/>
    <mergeCell ref="K5:K6"/>
    <mergeCell ref="H5:J5"/>
    <mergeCell ref="B5:B6"/>
    <mergeCell ref="L5:L6"/>
  </mergeCells>
  <conditionalFormatting sqref="R6:R15 R18:R21 R26 R28:R34">
    <cfRule type="cellIs" dxfId="3" priority="4" operator="greaterThan">
      <formula>0</formula>
    </cfRule>
  </conditionalFormatting>
  <conditionalFormatting sqref="R19:R26">
    <cfRule type="cellIs" dxfId="2" priority="3" operator="greaterThan">
      <formula>0</formula>
    </cfRule>
  </conditionalFormatting>
  <conditionalFormatting sqref="R27">
    <cfRule type="cellIs" dxfId="1" priority="2" operator="greaterThan">
      <formula>0</formula>
    </cfRule>
  </conditionalFormatting>
  <conditionalFormatting sqref="R20">
    <cfRule type="cellIs" dxfId="0" priority="1" operator="lessThan">
      <formula>89.9</formula>
    </cfRule>
  </conditionalFormatting>
  <dataValidations count="3">
    <dataValidation type="list" allowBlank="1" showInputMessage="1" showErrorMessage="1" sqref="L7:L47">
      <formula1>F7:G7</formula1>
    </dataValidation>
    <dataValidation type="list" allowBlank="1" showInputMessage="1" showErrorMessage="1" sqref="L48">
      <formula1>F48:G48</formula1>
    </dataValidation>
    <dataValidation type="list" allowBlank="1" showInputMessage="1" showErrorMessage="1" sqref="E7:E48">
      <formula1>$N$73:$N$79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'JM-kraven'!$A$2:$A$16</xm:f>
          </x14:formula1>
          <xm:sqref>G7:G48 F7:F47</xm:sqref>
        </x14:dataValidation>
        <x14:dataValidation type="list" allowBlank="1" showInputMessage="1" showErrorMessage="1">
          <x14:formula1>
            <xm:f>'JM-kraven'!$A$19:$A$22</xm:f>
          </x14:formula1>
          <xm:sqref>F48</xm:sqref>
        </x14:dataValidation>
        <x14:dataValidation type="list" allowBlank="1" showInputMessage="1" showErrorMessage="1">
          <x14:formula1>
            <xm:f>'JM-kraven'!$F$2:$F$5</xm:f>
          </x14:formula1>
          <xm:sqref>D7:D48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"/>
  <sheetViews>
    <sheetView topLeftCell="A13" workbookViewId="0">
      <selection activeCell="S11" sqref="S11"/>
    </sheetView>
  </sheetViews>
  <sheetFormatPr defaultRowHeight="15" x14ac:dyDescent="0.25"/>
  <cols>
    <col min="1" max="1" width="26.42578125" customWidth="1"/>
    <col min="2" max="6" width="9.140625" customWidth="1"/>
    <col min="8" max="19" width="9.140625" customWidth="1"/>
  </cols>
  <sheetData>
    <row r="2" spans="1:6" x14ac:dyDescent="0.25">
      <c r="A2" t="s">
        <v>34</v>
      </c>
      <c r="C2" t="s">
        <v>2</v>
      </c>
      <c r="F2">
        <v>7.5</v>
      </c>
    </row>
    <row r="3" spans="1:6" x14ac:dyDescent="0.25">
      <c r="A3" t="s">
        <v>5</v>
      </c>
      <c r="F3">
        <v>15</v>
      </c>
    </row>
    <row r="4" spans="1:6" x14ac:dyDescent="0.25">
      <c r="A4" t="s">
        <v>2</v>
      </c>
      <c r="C4" t="s">
        <v>5</v>
      </c>
      <c r="F4">
        <v>30</v>
      </c>
    </row>
    <row r="5" spans="1:6" x14ac:dyDescent="0.25">
      <c r="A5" s="1" t="s">
        <v>23</v>
      </c>
      <c r="C5" t="s">
        <v>4</v>
      </c>
      <c r="F5">
        <v>60</v>
      </c>
    </row>
    <row r="6" spans="1:6" x14ac:dyDescent="0.25">
      <c r="A6" s="2" t="s">
        <v>24</v>
      </c>
      <c r="C6" t="s">
        <v>27</v>
      </c>
    </row>
    <row r="7" spans="1:6" x14ac:dyDescent="0.25">
      <c r="A7" s="1" t="s">
        <v>25</v>
      </c>
    </row>
    <row r="8" spans="1:6" x14ac:dyDescent="0.25">
      <c r="A8" s="1" t="s">
        <v>26</v>
      </c>
    </row>
    <row r="9" spans="1:6" x14ac:dyDescent="0.25">
      <c r="A9" s="1" t="s">
        <v>27</v>
      </c>
    </row>
    <row r="10" spans="1:6" x14ac:dyDescent="0.25">
      <c r="A10" s="1" t="s">
        <v>28</v>
      </c>
    </row>
    <row r="11" spans="1:6" x14ac:dyDescent="0.25">
      <c r="A11" s="1" t="s">
        <v>29</v>
      </c>
    </row>
    <row r="12" spans="1:6" x14ac:dyDescent="0.25">
      <c r="A12" s="1" t="s">
        <v>30</v>
      </c>
    </row>
    <row r="13" spans="1:6" x14ac:dyDescent="0.25">
      <c r="A13" s="1" t="s">
        <v>4</v>
      </c>
    </row>
    <row r="14" spans="1:6" x14ac:dyDescent="0.25">
      <c r="A14" s="3" t="s">
        <v>31</v>
      </c>
    </row>
    <row r="15" spans="1:6" x14ac:dyDescent="0.25">
      <c r="A15" s="1" t="s">
        <v>32</v>
      </c>
    </row>
    <row r="16" spans="1:6" x14ac:dyDescent="0.25">
      <c r="A16" s="1" t="s">
        <v>33</v>
      </c>
    </row>
    <row r="17" spans="1:1" x14ac:dyDescent="0.25">
      <c r="A17" s="1"/>
    </row>
    <row r="18" spans="1:1" x14ac:dyDescent="0.25">
      <c r="A18" s="1"/>
    </row>
    <row r="19" spans="1:1" x14ac:dyDescent="0.25">
      <c r="A19" s="1" t="s">
        <v>5</v>
      </c>
    </row>
    <row r="20" spans="1:1" x14ac:dyDescent="0.25">
      <c r="A20" s="1" t="s">
        <v>4</v>
      </c>
    </row>
    <row r="21" spans="1:1" x14ac:dyDescent="0.25">
      <c r="A21" s="1" t="s">
        <v>2</v>
      </c>
    </row>
    <row r="22" spans="1:1" x14ac:dyDescent="0.25">
      <c r="A22" s="1" t="s">
        <v>34</v>
      </c>
    </row>
    <row r="23" spans="1:1" x14ac:dyDescent="0.25">
      <c r="A23" s="1"/>
    </row>
    <row r="24" spans="1:1" x14ac:dyDescent="0.25">
      <c r="A24">
        <v>7.5</v>
      </c>
    </row>
    <row r="25" spans="1:1" x14ac:dyDescent="0.25">
      <c r="A25">
        <v>15</v>
      </c>
    </row>
    <row r="26" spans="1:1" x14ac:dyDescent="0.25">
      <c r="A26">
        <v>30</v>
      </c>
    </row>
    <row r="27" spans="1:1" x14ac:dyDescent="0.25">
      <c r="A27">
        <v>60</v>
      </c>
    </row>
    <row r="28" spans="1:1" x14ac:dyDescent="0.25">
      <c r="A28" s="1"/>
    </row>
    <row r="29" spans="1:1" x14ac:dyDescent="0.25">
      <c r="A29" t="s">
        <v>20</v>
      </c>
    </row>
    <row r="30" spans="1:1" x14ac:dyDescent="0.25">
      <c r="A30" t="s">
        <v>21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 t="s">
        <v>19</v>
      </c>
    </row>
    <row r="34" spans="1:1" x14ac:dyDescent="0.25">
      <c r="A34" t="s">
        <v>22</v>
      </c>
    </row>
    <row r="35" spans="1:1" x14ac:dyDescent="0.25">
      <c r="A35" t="s">
        <v>43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Info</vt:lpstr>
      <vt:lpstr>Forest &amp; Landscape</vt:lpstr>
      <vt:lpstr>Individuell JM-examen</vt:lpstr>
      <vt:lpstr>JM-kraven</vt:lpstr>
    </vt:vector>
  </TitlesOfParts>
  <Company>Umeå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Ohlsson</dc:creator>
  <cp:lastModifiedBy>Jennie Ohlsson</cp:lastModifiedBy>
  <cp:lastPrinted>2022-12-27T09:03:44Z</cp:lastPrinted>
  <dcterms:created xsi:type="dcterms:W3CDTF">2019-03-22T09:54:42Z</dcterms:created>
  <dcterms:modified xsi:type="dcterms:W3CDTF">2023-03-01T14:49:51Z</dcterms:modified>
</cp:coreProperties>
</file>