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torage-ume.slu.se\home$\jeoh0004\My Documents\Simuleringsverktyg\"/>
    </mc:Choice>
  </mc:AlternateContent>
  <xr:revisionPtr revIDLastSave="0" documentId="8_{B63968B8-4901-4AD4-A506-D38CC69BBE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" sheetId="10" r:id="rId1"/>
    <sheet name="Forest &amp; Landscape" sheetId="8" r:id="rId2"/>
    <sheet name="Individuell JM-examen" sheetId="3" r:id="rId3"/>
    <sheet name="JM-krav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8" l="1"/>
  <c r="S34" i="8" l="1"/>
  <c r="S26" i="8" l="1"/>
  <c r="P9" i="3" l="1"/>
  <c r="P8" i="3"/>
  <c r="S6" i="8" l="1"/>
  <c r="P26" i="3"/>
  <c r="P6" i="3" l="1"/>
  <c r="S18" i="8"/>
  <c r="S39" i="8" l="1"/>
  <c r="S38" i="8"/>
  <c r="S37" i="8"/>
  <c r="S36" i="8"/>
  <c r="S35" i="8"/>
  <c r="S32" i="8"/>
  <c r="S31" i="8"/>
  <c r="S25" i="8"/>
  <c r="S24" i="8"/>
  <c r="S23" i="8"/>
  <c r="S22" i="8"/>
  <c r="S21" i="8"/>
  <c r="S20" i="8"/>
  <c r="S19" i="8"/>
  <c r="S12" i="8"/>
  <c r="S11" i="8"/>
  <c r="S10" i="8"/>
  <c r="S7" i="8"/>
  <c r="S5" i="8"/>
  <c r="S13" i="8" l="1"/>
  <c r="W14" i="8" s="1"/>
  <c r="U39" i="8" l="1"/>
  <c r="U38" i="8"/>
  <c r="U37" i="8"/>
  <c r="U36" i="8"/>
  <c r="U35" i="8"/>
  <c r="U34" i="8"/>
  <c r="U32" i="8"/>
  <c r="U31" i="8"/>
  <c r="U27" i="8"/>
  <c r="U24" i="8"/>
  <c r="W25" i="8" s="1"/>
  <c r="U23" i="8"/>
  <c r="U22" i="8"/>
  <c r="U21" i="8"/>
  <c r="U20" i="8"/>
  <c r="U19" i="8"/>
  <c r="U13" i="8"/>
  <c r="T54" i="8" s="1"/>
  <c r="U12" i="8"/>
  <c r="U11" i="8"/>
  <c r="U10" i="8"/>
  <c r="S8" i="8"/>
  <c r="U8" i="8" s="1"/>
  <c r="U7" i="8"/>
  <c r="U6" i="8"/>
  <c r="U5" i="8"/>
  <c r="P27" i="3"/>
  <c r="R27" i="3" s="1"/>
  <c r="T48" i="8" l="1"/>
  <c r="T44" i="8"/>
  <c r="T46" i="8"/>
  <c r="U25" i="8"/>
  <c r="V8" i="8"/>
  <c r="V14" i="8"/>
  <c r="T52" i="8" s="1"/>
  <c r="U18" i="8"/>
  <c r="U26" i="8"/>
  <c r="W27" i="8" s="1"/>
  <c r="P20" i="3"/>
  <c r="R20" i="3" s="1"/>
  <c r="P19" i="3"/>
  <c r="P11" i="3"/>
  <c r="P7" i="3"/>
  <c r="U52" i="8" l="1"/>
  <c r="U54" i="8"/>
  <c r="U50" i="8"/>
  <c r="T50" i="8"/>
  <c r="U44" i="8"/>
  <c r="U46" i="8"/>
  <c r="U48" i="8"/>
  <c r="W19" i="8"/>
  <c r="S30" i="8" s="1"/>
  <c r="U30" i="8" s="1"/>
  <c r="R6" i="3"/>
  <c r="T6" i="3" s="1"/>
  <c r="R26" i="3" l="1"/>
  <c r="P25" i="3"/>
  <c r="R25" i="3" s="1"/>
  <c r="P24" i="3"/>
  <c r="R24" i="3" s="1"/>
  <c r="P23" i="3"/>
  <c r="R23" i="3" s="1"/>
  <c r="P22" i="3"/>
  <c r="R19" i="3"/>
  <c r="P14" i="3"/>
  <c r="P15" i="3"/>
  <c r="P13" i="3"/>
  <c r="R13" i="3" s="1"/>
  <c r="P12" i="3"/>
  <c r="R12" i="3" s="1"/>
  <c r="T12" i="3" s="1"/>
  <c r="R11" i="3"/>
  <c r="P10" i="3"/>
  <c r="R10" i="3" l="1"/>
  <c r="R14" i="3"/>
  <c r="T14" i="3" s="1"/>
  <c r="P18" i="3" s="1"/>
  <c r="R18" i="3" s="1"/>
  <c r="R15" i="3"/>
  <c r="R22" i="3"/>
  <c r="R9" i="3"/>
  <c r="R8" i="3"/>
  <c r="R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Jennie Ohlsson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skogsvetenskap eller
15 hp skogsbruksvetenskap eller
15 hp biologi eller
15 hp miljövetenskap eller
15 hp landskapsarkitektur eller
15 hp lantbruksvetenskap eller
15 hp naturresurshushållning 
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Behörighetskrav:</t>
        </r>
        <r>
          <rPr>
            <sz val="9"/>
            <color indexed="81"/>
            <rFont val="Tahoma"/>
            <family val="2"/>
          </rPr>
          <t xml:space="preserve">
Kunskaper motsvarande:
7,5 hp skogsbruksvetenskap
7,5 hp landskapsarkitektur
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Behörighetskrav:</t>
        </r>
        <r>
          <rPr>
            <sz val="9"/>
            <color indexed="81"/>
            <rFont val="Tahoma"/>
            <family val="2"/>
          </rPr>
          <t xml:space="preserve">
Kunskaper motsvarande:
7,5 landskapsarkitektur
</t>
        </r>
      </text>
    </comment>
    <comment ref="C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eller
15 hp skogsvetenskap eller
15 hp biologi eller
15 hp miljövetenskap eller
15 hp landskapsarkitektur eller
15 hp lantbruksvetenskap eller
15 hp naturresurshushållning samt Engelska B.
</t>
        </r>
      </text>
    </comment>
    <comment ref="C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eller
15 hp skogsvetenskap eller
15 hp biologi eller
15 hp miljövetenskap eller
15 hp landskapsarkitektur eller
15 hp lantbruksvetenskap eller
15 hp naturresurshushållning samt Engelska B.
</t>
        </r>
      </text>
    </comment>
    <comment ref="C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
15 hp biologi.
</t>
        </r>
      </text>
    </comment>
    <comment ref="C2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skogsvetenskap eller
15 hp skogsbruksvetenskap eller
15 hp biologi eller
15 hp miljövetenskap eller
15 hp miljökommunikation eller
15 hp landskapsarkitektur eller
15 hp lantbruksvetenskap eller
15 hp naturresurshushållning.
</t>
        </r>
      </text>
    </comment>
    <comment ref="C2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120 hp varav 60 hp inom huvudområdet. Minst en kurs med fördjupningsnivå G2F ska genomföras senast i samband med det självständiga arbetet. Minst en kurs av relevans för ämnet för arbetet ska ha genomförts före det självständiga arbetet.
</t>
        </r>
      </text>
    </comment>
    <comment ref="C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120 hp varav 60 hp inom huvudområdet. Minst en kurs med fördjupningsnivå G2F ska genomföras senast i samband med det självständiga arbetet. Minst en kurs av relevans för ämnet för arbetet ska ha genomförts före det självständiga arbetet.
</t>
        </r>
      </text>
    </comment>
  </commentList>
</comments>
</file>

<file path=xl/sharedStrings.xml><?xml version="1.0" encoding="utf-8"?>
<sst xmlns="http://schemas.openxmlformats.org/spreadsheetml/2006/main" count="286" uniqueCount="135">
  <si>
    <t xml:space="preserve">Kurs </t>
  </si>
  <si>
    <t>Antal poäng</t>
  </si>
  <si>
    <t>Företagsekonomi</t>
  </si>
  <si>
    <t>Hp</t>
  </si>
  <si>
    <t>Skogsbruksvetenskap</t>
  </si>
  <si>
    <t>Biologi</t>
  </si>
  <si>
    <t>Naturliga processer</t>
  </si>
  <si>
    <t>Arbetsprocesser</t>
  </si>
  <si>
    <t>Skogsbruksvetenskap varav</t>
  </si>
  <si>
    <t>Mål, planering och policy</t>
  </si>
  <si>
    <t>Biologi varav</t>
  </si>
  <si>
    <t>Ekologi</t>
  </si>
  <si>
    <t>Ekonomi varav</t>
  </si>
  <si>
    <t>Masterarbete</t>
  </si>
  <si>
    <t xml:space="preserve">Krav </t>
  </si>
  <si>
    <t>Nivå</t>
  </si>
  <si>
    <t>Valt huvudområde i examen</t>
  </si>
  <si>
    <t>G2F</t>
  </si>
  <si>
    <t>G2E</t>
  </si>
  <si>
    <t>A1N</t>
  </si>
  <si>
    <t>G1N</t>
  </si>
  <si>
    <t>G1F</t>
  </si>
  <si>
    <t>A1F</t>
  </si>
  <si>
    <t>Hållbar utveckling</t>
  </si>
  <si>
    <t>Juridik</t>
  </si>
  <si>
    <t>Kemi</t>
  </si>
  <si>
    <t>Landskapsarkitektur</t>
  </si>
  <si>
    <t>Lantbruksvetenskap</t>
  </si>
  <si>
    <t>Markvetenskap</t>
  </si>
  <si>
    <t>Matematisk statistik</t>
  </si>
  <si>
    <t>Nationalekonomi</t>
  </si>
  <si>
    <t>Statistik</t>
  </si>
  <si>
    <t>Teknologi</t>
  </si>
  <si>
    <t>Annat ämne</t>
  </si>
  <si>
    <t>Bioekonomimanagement</t>
  </si>
  <si>
    <t>Kandidatarbete</t>
  </si>
  <si>
    <t>Huvudområde 1</t>
  </si>
  <si>
    <t>Huvudområde 2</t>
  </si>
  <si>
    <t>Ämne</t>
  </si>
  <si>
    <t>Kurs Avancerad nivå</t>
  </si>
  <si>
    <t>Skogsbruksvetenskap avancerad nivå</t>
  </si>
  <si>
    <t>Fördjupningsnviå G2F</t>
  </si>
  <si>
    <t xml:space="preserve">Biologi  </t>
  </si>
  <si>
    <t>A2E</t>
  </si>
  <si>
    <t>Kurskod</t>
  </si>
  <si>
    <t>Forest and landscape ecology</t>
  </si>
  <si>
    <t>Forest management methods</t>
  </si>
  <si>
    <t>GIS in forest and landscape</t>
  </si>
  <si>
    <t>Forest and landscape planning</t>
  </si>
  <si>
    <t>Mål, planering &amp; policy</t>
  </si>
  <si>
    <t>Poäng per delområden i Skogsbruksvetenskap</t>
  </si>
  <si>
    <t>Poäng ekologi i Biologi</t>
  </si>
  <si>
    <t>Poäng per delområde i Skogsbruksvetenskap</t>
  </si>
  <si>
    <t>Antal poäng som saknas</t>
  </si>
  <si>
    <t>Baskrav för jägmästarexamen (195 hp)</t>
  </si>
  <si>
    <t>Inriktnings-/specialiseringskrav (105 hp)</t>
  </si>
  <si>
    <t>Inriktning/Specialiseringskrav varav</t>
  </si>
  <si>
    <t>FYLLS I AUTOMATISKT!</t>
  </si>
  <si>
    <t>Huvudområde Skogsbruksvetenskap</t>
  </si>
  <si>
    <t>Kandidatarbete Skogsbruksvetenskap</t>
  </si>
  <si>
    <t>Kurser på avancerad nivå varav</t>
  </si>
  <si>
    <t>Avklarad (sätt X)</t>
  </si>
  <si>
    <t>Skogsbruksvetenskap grundnivå varav</t>
  </si>
  <si>
    <t>nivå G2F</t>
  </si>
  <si>
    <t>SV0016</t>
  </si>
  <si>
    <t>Forestry in Central Sweden</t>
  </si>
  <si>
    <t>Totalt antal avklarade poäng</t>
  </si>
  <si>
    <t>Totalt antal poäng varav</t>
  </si>
  <si>
    <t>Total antal poäng varav</t>
  </si>
  <si>
    <t>Masterarbete för jägmästarexamen</t>
  </si>
  <si>
    <t xml:space="preserve">År 1 </t>
  </si>
  <si>
    <t xml:space="preserve">År 2 </t>
  </si>
  <si>
    <t>Poäng i valt huvudområde på avancerad nivå</t>
  </si>
  <si>
    <r>
      <t xml:space="preserve"> Kurser som ska ingå i Jägmästarexamen - </t>
    </r>
    <r>
      <rPr>
        <b/>
        <i/>
        <sz val="24"/>
        <color rgb="FFFF0000"/>
        <rFont val="Calibri"/>
        <family val="2"/>
        <scheme val="minor"/>
      </rPr>
      <t>ATT FYLLA I SJÄLV</t>
    </r>
  </si>
  <si>
    <r>
      <t xml:space="preserve">Masterprogram/Kurser på avancerad nivå - </t>
    </r>
    <r>
      <rPr>
        <b/>
        <sz val="24"/>
        <color rgb="FFFF0000"/>
        <rFont val="Calibri"/>
        <family val="2"/>
        <scheme val="minor"/>
      </rPr>
      <t>Att fylla i själv</t>
    </r>
  </si>
  <si>
    <r>
      <t>Eventuellt övriga kurser (</t>
    </r>
    <r>
      <rPr>
        <b/>
        <sz val="11"/>
        <color rgb="FFFF0000"/>
        <rFont val="Calibri"/>
        <family val="2"/>
        <scheme val="minor"/>
      </rPr>
      <t>att fylla i själv</t>
    </r>
    <r>
      <rPr>
        <b/>
        <sz val="11"/>
        <color theme="1"/>
        <rFont val="Calibri"/>
        <family val="2"/>
        <scheme val="minor"/>
      </rPr>
      <t>)</t>
    </r>
  </si>
  <si>
    <t>Forest &amp; Landscape</t>
  </si>
  <si>
    <t>Vegetation design</t>
  </si>
  <si>
    <t>LK0423</t>
  </si>
  <si>
    <t xml:space="preserve">Forest and landscape governance </t>
  </si>
  <si>
    <t>SV0014</t>
  </si>
  <si>
    <t>BI1418</t>
  </si>
  <si>
    <t>Forest and landscape biodiversity conservation and ecosystem services</t>
  </si>
  <si>
    <t xml:space="preserve">År 3 </t>
  </si>
  <si>
    <t>Bachelor thesis in Landscape architecture</t>
  </si>
  <si>
    <t>Bachelor thesis in Forestry Science</t>
  </si>
  <si>
    <t>Huvudområde Landskapsarkitektur</t>
  </si>
  <si>
    <t>Landskapsarkitektur grundnivå varav</t>
  </si>
  <si>
    <t>Kandidatarbete Landskapsarkitektur</t>
  </si>
  <si>
    <t>Avklarad (sätt x)</t>
  </si>
  <si>
    <t xml:space="preserve">Trees, structure and function </t>
  </si>
  <si>
    <t xml:space="preserve">Analysis of forested landscapes </t>
  </si>
  <si>
    <t>Arbets-processer</t>
  </si>
  <si>
    <t xml:space="preserve">Har man inte läst något av kandidatprogrammen kan man fylla i sina kurser i  denna tabell.  All information man behöver hittar man i kursplanerna för respektive kurs. </t>
  </si>
  <si>
    <r>
      <t xml:space="preserve">FYLLS I AUTOMATISKT!        </t>
    </r>
    <r>
      <rPr>
        <b/>
        <sz val="16"/>
        <rFont val="Calibri"/>
        <family val="2"/>
        <scheme val="minor"/>
      </rPr>
      <t>Examenskrav Forest &amp; Landscape</t>
    </r>
  </si>
  <si>
    <t>Business management in forest and landscape</t>
  </si>
  <si>
    <t>EX1012</t>
  </si>
  <si>
    <t>EX1011</t>
  </si>
  <si>
    <t>Kurs</t>
  </si>
  <si>
    <t>Behörig till masterprogram</t>
  </si>
  <si>
    <t>Program</t>
  </si>
  <si>
    <t>Huvudområde</t>
  </si>
  <si>
    <t>Forest Ecology and Sustainable Management</t>
  </si>
  <si>
    <t>Euroforester</t>
  </si>
  <si>
    <t>Forest Bioeconomy</t>
  </si>
  <si>
    <t>Industrial Wood Supply Management</t>
  </si>
  <si>
    <t>Hur använder jag verktyget?</t>
  </si>
  <si>
    <t>Länk till programsidan</t>
  </si>
  <si>
    <t>Conservation and Management of Fish and Wildlife</t>
  </si>
  <si>
    <t>Fördjupningsnivå G2F</t>
  </si>
  <si>
    <t>Forest and Business Management</t>
  </si>
  <si>
    <t xml:space="preserve">Kurser på avancerad nivå </t>
  </si>
  <si>
    <t xml:space="preserve">Bara i ett av de fyra ämnena behöver kravet om 60 hp vara uppfyllt.  </t>
  </si>
  <si>
    <t>Silviculture in forest and landscape</t>
  </si>
  <si>
    <t>BI1451</t>
  </si>
  <si>
    <t>Poäng i Skogs-teknologi</t>
  </si>
  <si>
    <t>Poäng i Virkeslära</t>
  </si>
  <si>
    <t>BI1452</t>
  </si>
  <si>
    <t>LK0448</t>
  </si>
  <si>
    <t>SV0040</t>
  </si>
  <si>
    <t>LK0434</t>
  </si>
  <si>
    <t>Tree and forest health</t>
  </si>
  <si>
    <t>Poäng ekologi</t>
  </si>
  <si>
    <t>SVXXXX</t>
  </si>
  <si>
    <t>LK0444</t>
  </si>
  <si>
    <t xml:space="preserve">Environmental discourses and communication </t>
  </si>
  <si>
    <r>
      <rPr>
        <b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. Till höger där det står "</t>
    </r>
    <r>
      <rPr>
        <b/>
        <sz val="12"/>
        <color theme="1"/>
        <rFont val="Calibri"/>
        <family val="2"/>
        <scheme val="minor"/>
      </rPr>
      <t>Fylls i automatiskt</t>
    </r>
    <r>
      <rPr>
        <sz val="12"/>
        <color theme="1"/>
        <rFont val="Calibri"/>
        <family val="2"/>
        <scheme val="minor"/>
      </rPr>
      <t xml:space="preserve">" </t>
    </r>
    <r>
      <rPr>
        <b/>
        <sz val="12"/>
        <color theme="1"/>
        <rFont val="Calibri"/>
        <family val="2"/>
        <scheme val="minor"/>
      </rPr>
      <t>ser du, beroende på hur du har fyllt i dokumentet, hur många poäng du läst/tänkt läsa samt inom vilka ämnen.</t>
    </r>
    <r>
      <rPr>
        <sz val="12"/>
        <color theme="1"/>
        <rFont val="Calibri"/>
        <family val="2"/>
        <scheme val="minor"/>
      </rPr>
      <t xml:space="preserve"> Det framgår även hur mycket poäng som saknas i respektive ämnen beroende på vilken examen du riktar in dig på. </t>
    </r>
  </si>
  <si>
    <r>
      <rPr>
        <b/>
        <sz val="12"/>
        <color theme="1"/>
        <rFont val="Calibri"/>
        <family val="2"/>
        <scheme val="minor"/>
      </rPr>
      <t>1. Ladda ned och spara den</t>
    </r>
    <r>
      <rPr>
        <sz val="12"/>
        <color theme="1"/>
        <rFont val="Calibri"/>
        <family val="2"/>
        <scheme val="minor"/>
      </rPr>
      <t xml:space="preserve"> senaste versionen av verktyget på din dator</t>
    </r>
    <r>
      <rPr>
        <b/>
        <sz val="12"/>
        <color theme="1"/>
        <rFont val="Calibri"/>
        <family val="2"/>
        <scheme val="minor"/>
      </rPr>
      <t>. (se länk nedan)</t>
    </r>
  </si>
  <si>
    <t>OBS! Vi arbetar löpande med  kvalitetssäkring och utveckling av verktyget, se därför till att alltid arbeta i den
senaste versionen som finns på programsidan på studentwebben!</t>
  </si>
  <si>
    <r>
      <t xml:space="preserve">2. Ange med ett X </t>
    </r>
    <r>
      <rPr>
        <sz val="12"/>
        <color theme="1"/>
        <rFont val="Calibri"/>
        <family val="2"/>
        <scheme val="minor"/>
      </rPr>
      <t xml:space="preserve">i kolumn N vilka kurser du har läst/tänkt läsa. </t>
    </r>
  </si>
  <si>
    <t>Föxxxx</t>
  </si>
  <si>
    <t>Kraven behöver endast vara uppfyllda inom ett huvudområde</t>
  </si>
  <si>
    <t>Används ej</t>
  </si>
  <si>
    <r>
      <rPr>
        <b/>
        <sz val="12"/>
        <color theme="1"/>
        <rFont val="Calibri"/>
        <family val="2"/>
        <scheme val="minor"/>
      </rPr>
      <t>3. Om kursen har två huvudområden, välj då vilket huvudområde</t>
    </r>
    <r>
      <rPr>
        <sz val="12"/>
        <color theme="1"/>
        <rFont val="Calibri"/>
        <family val="2"/>
        <scheme val="minor"/>
      </rPr>
      <t xml:space="preserve"> i kolumn O kursen ska räknas som</t>
    </r>
  </si>
  <si>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Programkurserna är förifyllda. </t>
    </r>
    <r>
      <rPr>
        <b/>
        <sz val="12"/>
        <color theme="1"/>
        <rFont val="Calibri"/>
        <family val="2"/>
        <scheme val="minor"/>
      </rPr>
      <t>Om du läst andra kurser</t>
    </r>
    <r>
      <rPr>
        <sz val="12"/>
        <color theme="1"/>
        <rFont val="Calibri"/>
        <family val="2"/>
        <scheme val="minor"/>
      </rPr>
      <t xml:space="preserve"> som inte finns med i listan, fyll i uppgifterna själv för de kurser du vill ska räknas med,  eller använd fliken Individuelll JM-examen som inte har några förifyllda kurser. All information du behöver för att fylla i uppgifterna finns i kursplanen för respektive kurs.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</si>
</sst>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;&quot;0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name val="Times New Roman"/>
      <family val="1"/>
    </font>
    <font>
      <sz val="10.5"/>
      <color rgb="FF050505"/>
      <name val="Times New Roman"/>
      <family val="1"/>
    </font>
    <font>
      <sz val="11"/>
      <name val="Times New Roman"/>
      <family val="1"/>
    </font>
    <font>
      <b/>
      <i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382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" fillId="5" borderId="7" xfId="0" applyFont="1" applyFill="1" applyBorder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4" borderId="36" xfId="0" applyFill="1" applyBorder="1" applyProtection="1">
      <protection locked="0"/>
    </xf>
    <xf numFmtId="0" fontId="2" fillId="4" borderId="33" xfId="0" applyFont="1" applyFill="1" applyBorder="1" applyAlignment="1" applyProtection="1">
      <alignment horizontal="center"/>
      <protection locked="0"/>
    </xf>
    <xf numFmtId="0" fontId="2" fillId="4" borderId="33" xfId="0" applyFont="1" applyFill="1" applyBorder="1" applyAlignment="1" applyProtection="1">
      <alignment horizontal="center" wrapText="1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Protection="1"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5" xfId="0" applyFont="1" applyBorder="1" applyProtection="1">
      <protection locked="0"/>
    </xf>
    <xf numFmtId="0" fontId="3" fillId="3" borderId="0" xfId="0" applyFont="1" applyFill="1" applyProtection="1">
      <protection locked="0"/>
    </xf>
    <xf numFmtId="0" fontId="23" fillId="3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7" xfId="0" applyFont="1" applyBorder="1" applyProtection="1"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1" fillId="5" borderId="0" xfId="0" applyFont="1" applyFill="1" applyProtection="1">
      <protection locked="0"/>
    </xf>
    <xf numFmtId="0" fontId="0" fillId="5" borderId="18" xfId="0" applyFill="1" applyBorder="1" applyProtection="1"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" xfId="0" applyFill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1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14" xfId="0" applyBorder="1"/>
    <xf numFmtId="0" fontId="0" fillId="0" borderId="21" xfId="0" applyBorder="1"/>
    <xf numFmtId="0" fontId="3" fillId="0" borderId="1" xfId="0" applyFont="1" applyBorder="1"/>
    <xf numFmtId="0" fontId="0" fillId="0" borderId="1" xfId="0" applyBorder="1"/>
    <xf numFmtId="0" fontId="11" fillId="8" borderId="7" xfId="0" applyFont="1" applyFill="1" applyBorder="1"/>
    <xf numFmtId="0" fontId="11" fillId="8" borderId="0" xfId="0" applyFont="1" applyFill="1"/>
    <xf numFmtId="0" fontId="11" fillId="8" borderId="0" xfId="0" applyFont="1" applyFill="1" applyAlignment="1">
      <alignment horizontal="center"/>
    </xf>
    <xf numFmtId="0" fontId="13" fillId="5" borderId="7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/>
    <xf numFmtId="0" fontId="15" fillId="5" borderId="0" xfId="0" applyFont="1" applyFill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9" xfId="0" applyFont="1" applyFill="1" applyBorder="1" applyAlignment="1">
      <alignment vertical="center"/>
    </xf>
    <xf numFmtId="0" fontId="15" fillId="5" borderId="10" xfId="0" applyFont="1" applyFill="1" applyBorder="1"/>
    <xf numFmtId="0" fontId="15" fillId="5" borderId="10" xfId="0" applyFont="1" applyFill="1" applyBorder="1" applyAlignment="1">
      <alignment horizontal="center"/>
    </xf>
    <xf numFmtId="0" fontId="11" fillId="6" borderId="18" xfId="0" applyFont="1" applyFill="1" applyBorder="1"/>
    <xf numFmtId="0" fontId="11" fillId="6" borderId="17" xfId="0" applyFont="1" applyFill="1" applyBorder="1"/>
    <xf numFmtId="0" fontId="11" fillId="6" borderId="17" xfId="0" applyFont="1" applyFill="1" applyBorder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4" fillId="6" borderId="17" xfId="0" applyFont="1" applyFill="1" applyBorder="1"/>
    <xf numFmtId="0" fontId="10" fillId="2" borderId="7" xfId="0" applyFont="1" applyFill="1" applyBorder="1"/>
    <xf numFmtId="0" fontId="10" fillId="2" borderId="0" xfId="0" applyFont="1" applyFill="1"/>
    <xf numFmtId="0" fontId="13" fillId="2" borderId="7" xfId="0" applyFont="1" applyFill="1" applyBorder="1"/>
    <xf numFmtId="0" fontId="15" fillId="2" borderId="0" xfId="0" applyFont="1" applyFill="1"/>
    <xf numFmtId="0" fontId="15" fillId="2" borderId="7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0" fillId="5" borderId="7" xfId="0" applyFill="1" applyBorder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horizontal="center"/>
    </xf>
    <xf numFmtId="0" fontId="4" fillId="6" borderId="18" xfId="0" applyFont="1" applyFill="1" applyBorder="1"/>
    <xf numFmtId="0" fontId="13" fillId="2" borderId="0" xfId="0" applyFont="1" applyFill="1" applyAlignment="1">
      <alignment horizontal="center"/>
    </xf>
    <xf numFmtId="0" fontId="0" fillId="2" borderId="0" xfId="0" applyFill="1"/>
    <xf numFmtId="0" fontId="15" fillId="2" borderId="0" xfId="0" applyFont="1" applyFill="1" applyAlignment="1">
      <alignment horizontal="center"/>
    </xf>
    <xf numFmtId="0" fontId="13" fillId="2" borderId="39" xfId="0" applyFont="1" applyFill="1" applyBorder="1"/>
    <xf numFmtId="0" fontId="13" fillId="2" borderId="40" xfId="0" applyFont="1" applyFill="1" applyBorder="1"/>
    <xf numFmtId="0" fontId="13" fillId="2" borderId="40" xfId="0" applyFont="1" applyFill="1" applyBorder="1" applyAlignment="1">
      <alignment horizontal="center"/>
    </xf>
    <xf numFmtId="0" fontId="3" fillId="10" borderId="33" xfId="0" applyFont="1" applyFill="1" applyBorder="1" applyAlignment="1" applyProtection="1">
      <alignment horizontal="center"/>
      <protection locked="0"/>
    </xf>
    <xf numFmtId="0" fontId="0" fillId="10" borderId="37" xfId="0" applyFill="1" applyBorder="1" applyProtection="1">
      <protection locked="0"/>
    </xf>
    <xf numFmtId="0" fontId="3" fillId="2" borderId="33" xfId="0" applyFont="1" applyFill="1" applyBorder="1" applyAlignment="1" applyProtection="1">
      <alignment horizontal="center"/>
      <protection locked="0"/>
    </xf>
    <xf numFmtId="0" fontId="0" fillId="2" borderId="37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15" xfId="0" applyBorder="1" applyProtection="1"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10" borderId="7" xfId="0" applyFill="1" applyBorder="1"/>
    <xf numFmtId="0" fontId="1" fillId="10" borderId="33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 wrapText="1"/>
    </xf>
    <xf numFmtId="0" fontId="3" fillId="0" borderId="15" xfId="0" applyFont="1" applyBorder="1"/>
    <xf numFmtId="0" fontId="0" fillId="3" borderId="36" xfId="0" applyFill="1" applyBorder="1"/>
    <xf numFmtId="0" fontId="0" fillId="2" borderId="36" xfId="0" applyFill="1" applyBorder="1"/>
    <xf numFmtId="0" fontId="1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0" fillId="5" borderId="20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26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0" fillId="0" borderId="22" xfId="0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13" fillId="5" borderId="7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0" fillId="5" borderId="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4" fillId="5" borderId="7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4" fillId="8" borderId="7" xfId="0" applyFont="1" applyFill="1" applyBorder="1"/>
    <xf numFmtId="0" fontId="10" fillId="5" borderId="7" xfId="0" applyFont="1" applyFill="1" applyBorder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3" fillId="5" borderId="7" xfId="0" applyFont="1" applyFill="1" applyBorder="1"/>
    <xf numFmtId="0" fontId="15" fillId="5" borderId="7" xfId="0" applyFont="1" applyFill="1" applyBorder="1"/>
    <xf numFmtId="0" fontId="13" fillId="5" borderId="9" xfId="0" applyFont="1" applyFill="1" applyBorder="1"/>
    <xf numFmtId="0" fontId="13" fillId="5" borderId="10" xfId="0" applyFont="1" applyFill="1" applyBorder="1"/>
    <xf numFmtId="0" fontId="13" fillId="5" borderId="10" xfId="0" applyFont="1" applyFill="1" applyBorder="1" applyAlignment="1">
      <alignment horizontal="center"/>
    </xf>
    <xf numFmtId="0" fontId="11" fillId="7" borderId="9" xfId="0" applyFont="1" applyFill="1" applyBorder="1"/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/>
    <xf numFmtId="49" fontId="13" fillId="2" borderId="4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23" fillId="3" borderId="0" xfId="0" applyFont="1" applyFill="1"/>
    <xf numFmtId="0" fontId="13" fillId="5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0" fontId="24" fillId="3" borderId="2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Protection="1">
      <protection locked="0"/>
    </xf>
    <xf numFmtId="164" fontId="13" fillId="2" borderId="8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5" borderId="26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0" fillId="3" borderId="32" xfId="0" applyFill="1" applyBorder="1"/>
    <xf numFmtId="0" fontId="15" fillId="3" borderId="16" xfId="0" applyFont="1" applyFill="1" applyBorder="1"/>
    <xf numFmtId="0" fontId="15" fillId="3" borderId="15" xfId="0" applyFont="1" applyFill="1" applyBorder="1"/>
    <xf numFmtId="0" fontId="0" fillId="5" borderId="0" xfId="0" applyFill="1"/>
    <xf numFmtId="0" fontId="0" fillId="3" borderId="29" xfId="0" applyFill="1" applyBorder="1"/>
    <xf numFmtId="0" fontId="15" fillId="3" borderId="0" xfId="0" applyFont="1" applyFill="1"/>
    <xf numFmtId="0" fontId="15" fillId="3" borderId="20" xfId="0" applyFont="1" applyFill="1" applyBorder="1"/>
    <xf numFmtId="0" fontId="0" fillId="3" borderId="30" xfId="0" applyFill="1" applyBorder="1"/>
    <xf numFmtId="0" fontId="1" fillId="9" borderId="36" xfId="0" applyFont="1" applyFill="1" applyBorder="1" applyProtection="1">
      <protection locked="0"/>
    </xf>
    <xf numFmtId="0" fontId="2" fillId="9" borderId="17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9" borderId="25" xfId="0" applyFont="1" applyFill="1" applyBorder="1" applyProtection="1">
      <protection locked="0"/>
    </xf>
    <xf numFmtId="0" fontId="1" fillId="9" borderId="17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wrapText="1"/>
    </xf>
    <xf numFmtId="0" fontId="0" fillId="3" borderId="42" xfId="0" applyFill="1" applyBorder="1" applyAlignment="1">
      <alignment wrapText="1"/>
    </xf>
    <xf numFmtId="0" fontId="29" fillId="4" borderId="33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10" borderId="33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" xfId="0" applyFont="1" applyBorder="1"/>
    <xf numFmtId="0" fontId="30" fillId="2" borderId="33" xfId="0" applyFont="1" applyFill="1" applyBorder="1" applyAlignment="1">
      <alignment horizontal="center"/>
    </xf>
    <xf numFmtId="0" fontId="30" fillId="0" borderId="1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3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4" fillId="8" borderId="8" xfId="0" applyFont="1" applyFill="1" applyBorder="1" applyAlignment="1">
      <alignment horizontal="center" wrapText="1"/>
    </xf>
    <xf numFmtId="0" fontId="3" fillId="3" borderId="2" xfId="0" applyFont="1" applyFill="1" applyBorder="1"/>
    <xf numFmtId="0" fontId="1" fillId="9" borderId="1" xfId="0" applyFont="1" applyFill="1" applyBorder="1" applyAlignment="1" applyProtection="1">
      <alignment horizontal="center" wrapText="1"/>
      <protection locked="0"/>
    </xf>
    <xf numFmtId="0" fontId="33" fillId="11" borderId="1" xfId="0" applyFont="1" applyFill="1" applyBorder="1" applyAlignment="1">
      <alignment horizontal="center"/>
    </xf>
    <xf numFmtId="0" fontId="33" fillId="11" borderId="13" xfId="0" applyFont="1" applyFill="1" applyBorder="1" applyAlignment="1">
      <alignment horizontal="center"/>
    </xf>
    <xf numFmtId="0" fontId="33" fillId="11" borderId="13" xfId="0" applyFont="1" applyFill="1" applyBorder="1"/>
    <xf numFmtId="0" fontId="33" fillId="11" borderId="1" xfId="0" applyFont="1" applyFill="1" applyBorder="1"/>
    <xf numFmtId="0" fontId="33" fillId="11" borderId="4" xfId="0" applyFont="1" applyFill="1" applyBorder="1"/>
    <xf numFmtId="0" fontId="27" fillId="3" borderId="0" xfId="1" applyFill="1" applyBorder="1" applyAlignment="1">
      <alignment horizontal="left" vertical="top" wrapText="1"/>
    </xf>
    <xf numFmtId="0" fontId="27" fillId="3" borderId="20" xfId="1" applyFill="1" applyBorder="1" applyAlignment="1">
      <alignment horizontal="left" vertical="top" wrapText="1"/>
    </xf>
    <xf numFmtId="0" fontId="27" fillId="3" borderId="17" xfId="1" applyFill="1" applyBorder="1" applyAlignment="1">
      <alignment horizontal="left" vertical="top" wrapText="1"/>
    </xf>
    <xf numFmtId="0" fontId="27" fillId="3" borderId="21" xfId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20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 wrapText="1"/>
    </xf>
    <xf numFmtId="0" fontId="13" fillId="3" borderId="2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wrapText="1"/>
    </xf>
    <xf numFmtId="0" fontId="15" fillId="3" borderId="20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wrapText="1"/>
    </xf>
    <xf numFmtId="0" fontId="17" fillId="8" borderId="6" xfId="0" applyFont="1" applyFill="1" applyBorder="1" applyAlignment="1">
      <alignment horizontal="center" wrapText="1"/>
    </xf>
    <xf numFmtId="0" fontId="17" fillId="8" borderId="23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0" fontId="16" fillId="5" borderId="44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4" fillId="6" borderId="8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43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34" xfId="0" applyFont="1" applyFill="1" applyBorder="1" applyAlignment="1" applyProtection="1">
      <alignment horizontal="center" vertical="center" wrapText="1"/>
      <protection locked="0"/>
    </xf>
    <xf numFmtId="0" fontId="2" fillId="5" borderId="46" xfId="0" applyFont="1" applyFill="1" applyBorder="1" applyAlignment="1" applyProtection="1">
      <alignment horizontal="center" vertical="center" wrapText="1"/>
      <protection locked="0"/>
    </xf>
    <xf numFmtId="0" fontId="2" fillId="5" borderId="47" xfId="0" applyFont="1" applyFill="1" applyBorder="1" applyAlignment="1" applyProtection="1">
      <alignment horizontal="center" vertical="center" wrapText="1"/>
      <protection locked="0"/>
    </xf>
    <xf numFmtId="0" fontId="2" fillId="5" borderId="48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2" fillId="5" borderId="49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32" fillId="11" borderId="13" xfId="0" applyFont="1" applyFill="1" applyBorder="1" applyAlignment="1" applyProtection="1">
      <alignment horizontal="center" vertical="center" wrapText="1"/>
      <protection locked="0"/>
    </xf>
    <xf numFmtId="0" fontId="32" fillId="11" borderId="22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5" fillId="6" borderId="29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5" fillId="6" borderId="30" xfId="0" applyFont="1" applyFill="1" applyBorder="1" applyAlignment="1" applyProtection="1">
      <alignment horizontal="center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8" borderId="5" xfId="0" applyFont="1" applyFill="1" applyBorder="1" applyAlignment="1" applyProtection="1">
      <alignment horizontal="center" vertical="center"/>
      <protection locked="0"/>
    </xf>
    <xf numFmtId="0" fontId="18" fillId="8" borderId="6" xfId="0" applyFont="1" applyFill="1" applyBorder="1" applyAlignment="1" applyProtection="1">
      <alignment horizontal="center" vertical="center"/>
      <protection locked="0"/>
    </xf>
    <xf numFmtId="0" fontId="18" fillId="8" borderId="23" xfId="0" applyFont="1" applyFill="1" applyBorder="1" applyAlignment="1" applyProtection="1">
      <alignment horizontal="center" vertical="center"/>
      <protection locked="0"/>
    </xf>
    <xf numFmtId="0" fontId="18" fillId="8" borderId="18" xfId="0" applyFont="1" applyFill="1" applyBorder="1" applyAlignment="1" applyProtection="1">
      <alignment horizontal="center" vertical="center"/>
      <protection locked="0"/>
    </xf>
    <xf numFmtId="0" fontId="18" fillId="8" borderId="17" xfId="0" applyFont="1" applyFill="1" applyBorder="1" applyAlignment="1" applyProtection="1">
      <alignment horizontal="center" vertical="center"/>
      <protection locked="0"/>
    </xf>
    <xf numFmtId="0" fontId="18" fillId="8" borderId="19" xfId="0" applyFont="1" applyFill="1" applyBorder="1" applyAlignment="1" applyProtection="1">
      <alignment horizontal="center" vertic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49" fontId="4" fillId="6" borderId="23" xfId="0" applyNumberFormat="1" applyFont="1" applyFill="1" applyBorder="1" applyAlignment="1">
      <alignment horizontal="center" vertical="center" wrapText="1"/>
    </xf>
    <xf numFmtId="49" fontId="4" fillId="6" borderId="19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23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5" fillId="8" borderId="32" xfId="0" applyFont="1" applyFill="1" applyBorder="1" applyAlignment="1" applyProtection="1">
      <alignment horizontal="center" vertical="center" wrapText="1"/>
      <protection locked="0"/>
    </xf>
    <xf numFmtId="0" fontId="5" fillId="8" borderId="16" xfId="0" applyFont="1" applyFill="1" applyBorder="1" applyAlignment="1" applyProtection="1">
      <alignment horizontal="center" vertical="center" wrapText="1"/>
      <protection locked="0"/>
    </xf>
    <xf numFmtId="0" fontId="5" fillId="8" borderId="15" xfId="0" applyFont="1" applyFill="1" applyBorder="1" applyAlignment="1" applyProtection="1">
      <alignment horizontal="center" vertical="center" wrapText="1"/>
      <protection locked="0"/>
    </xf>
    <xf numFmtId="0" fontId="5" fillId="8" borderId="29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5" fillId="8" borderId="30" xfId="0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8" borderId="32" xfId="0" applyFont="1" applyFill="1" applyBorder="1" applyAlignment="1" applyProtection="1">
      <alignment horizontal="center" vertical="center" wrapText="1"/>
      <protection locked="0"/>
    </xf>
    <xf numFmtId="0" fontId="1" fillId="8" borderId="16" xfId="0" applyFont="1" applyFill="1" applyBorder="1" applyAlignment="1" applyProtection="1">
      <alignment horizontal="center" vertical="center" wrapText="1"/>
      <protection locked="0"/>
    </xf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0" fontId="1" fillId="8" borderId="29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20" xfId="0" applyFont="1" applyFill="1" applyBorder="1" applyAlignment="1" applyProtection="1">
      <alignment horizontal="center" vertical="center" wrapText="1"/>
      <protection locked="0"/>
    </xf>
    <xf numFmtId="0" fontId="1" fillId="8" borderId="30" xfId="0" applyFont="1" applyFill="1" applyBorder="1" applyAlignment="1" applyProtection="1">
      <alignment horizontal="center" vertical="center" wrapText="1"/>
      <protection locked="0"/>
    </xf>
    <xf numFmtId="0" fontId="1" fillId="8" borderId="17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vertical="center" wrapText="1"/>
      <protection locked="0"/>
    </xf>
    <xf numFmtId="0" fontId="19" fillId="5" borderId="6" xfId="0" applyFont="1" applyFill="1" applyBorder="1" applyAlignment="1" applyProtection="1">
      <alignment horizontal="center"/>
      <protection locked="0"/>
    </xf>
    <xf numFmtId="0" fontId="19" fillId="5" borderId="43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3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</cellXfs>
  <cellStyles count="2">
    <cellStyle name="Hyperlänk" xfId="1" builtinId="8"/>
    <cellStyle name="Normal" xfId="0" builtinId="0"/>
  </cellStyles>
  <dxfs count="1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83821</xdr:colOff>
      <xdr:row>2</xdr:row>
      <xdr:rowOff>213360</xdr:rowOff>
    </xdr:from>
    <xdr:to>
      <xdr:col>22</xdr:col>
      <xdr:colOff>106680</xdr:colOff>
      <xdr:row>3</xdr:row>
      <xdr:rowOff>209550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214081" y="1394460"/>
          <a:ext cx="601979" cy="339090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104353</xdr:colOff>
      <xdr:row>35</xdr:row>
      <xdr:rowOff>259079</xdr:rowOff>
    </xdr:from>
    <xdr:to>
      <xdr:col>22</xdr:col>
      <xdr:colOff>106680</xdr:colOff>
      <xdr:row>36</xdr:row>
      <xdr:rowOff>241934</xdr:rowOff>
    </xdr:to>
    <xdr:sp macro="" textlink="">
      <xdr:nvSpPr>
        <xdr:cNvPr id="3" name="Vänsterp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4613" y="12534899"/>
          <a:ext cx="581447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49531</xdr:colOff>
      <xdr:row>8</xdr:row>
      <xdr:rowOff>167639</xdr:rowOff>
    </xdr:from>
    <xdr:to>
      <xdr:col>22</xdr:col>
      <xdr:colOff>114300</xdr:colOff>
      <xdr:row>9</xdr:row>
      <xdr:rowOff>0</xdr:rowOff>
    </xdr:to>
    <xdr:sp macro="" textlink="">
      <xdr:nvSpPr>
        <xdr:cNvPr id="4" name="Vänsterp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179791" y="3291839"/>
          <a:ext cx="643889" cy="390527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390525</xdr:colOff>
      <xdr:row>1</xdr:row>
      <xdr:rowOff>133350</xdr:rowOff>
    </xdr:from>
    <xdr:to>
      <xdr:col>14</xdr:col>
      <xdr:colOff>1257300</xdr:colOff>
      <xdr:row>3</xdr:row>
      <xdr:rowOff>85725</xdr:rowOff>
    </xdr:to>
    <xdr:sp macro="" textlink="">
      <xdr:nvSpPr>
        <xdr:cNvPr id="5" name="Rektangulär bildtex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582400" y="723900"/>
          <a:ext cx="2209800" cy="89535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200"/>
            <a:t>Starta här med att sätta X (kolumn N) välj sedan vilket huvudområde</a:t>
          </a:r>
          <a:r>
            <a:rPr lang="sv-SE" sz="1200" baseline="0"/>
            <a:t> kursen ska räknas in i (kolumn O)</a:t>
          </a:r>
          <a:endParaRPr lang="sv-SE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22</xdr:row>
      <xdr:rowOff>173832</xdr:rowOff>
    </xdr:from>
    <xdr:to>
      <xdr:col>19</xdr:col>
      <xdr:colOff>314325</xdr:colOff>
      <xdr:row>24</xdr:row>
      <xdr:rowOff>19050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393025" y="6488907"/>
          <a:ext cx="714375" cy="378618"/>
        </a:xfrm>
        <a:prstGeom prst="leftArrow">
          <a:avLst>
            <a:gd name="adj1" fmla="val 50000"/>
            <a:gd name="adj2" fmla="val 4937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12</xdr:col>
      <xdr:colOff>220287</xdr:colOff>
      <xdr:row>26</xdr:row>
      <xdr:rowOff>143558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8688012" cy="4896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171450</xdr:rowOff>
    </xdr:from>
    <xdr:to>
      <xdr:col>12</xdr:col>
      <xdr:colOff>201235</xdr:colOff>
      <xdr:row>57</xdr:row>
      <xdr:rowOff>86537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24450"/>
          <a:ext cx="8668960" cy="5820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38100</xdr:rowOff>
    </xdr:from>
    <xdr:to>
      <xdr:col>12</xdr:col>
      <xdr:colOff>201235</xdr:colOff>
      <xdr:row>69</xdr:row>
      <xdr:rowOff>95604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06100"/>
          <a:ext cx="8668960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104775</xdr:rowOff>
    </xdr:from>
    <xdr:to>
      <xdr:col>12</xdr:col>
      <xdr:colOff>172656</xdr:colOff>
      <xdr:row>78</xdr:row>
      <xdr:rowOff>152673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058775"/>
          <a:ext cx="8640381" cy="1952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95250</xdr:rowOff>
    </xdr:from>
    <xdr:to>
      <xdr:col>12</xdr:col>
      <xdr:colOff>172656</xdr:colOff>
      <xdr:row>85</xdr:row>
      <xdr:rowOff>171647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954250"/>
          <a:ext cx="8640381" cy="140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udent.slu.se/en/studies/courses-and-programmes/bachelors-programmes/forest-and-landscap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workbookViewId="0">
      <selection activeCell="V6" sqref="V6"/>
    </sheetView>
  </sheetViews>
  <sheetFormatPr defaultColWidth="9.109375" defaultRowHeight="14.4" x14ac:dyDescent="0.3"/>
  <cols>
    <col min="1" max="1" width="5" style="200" customWidth="1"/>
    <col min="2" max="2" width="3.109375" style="200" customWidth="1"/>
    <col min="3" max="8" width="9.109375" style="200"/>
    <col min="9" max="9" width="13.109375" style="200" customWidth="1"/>
    <col min="10" max="16384" width="9.109375" style="200"/>
  </cols>
  <sheetData>
    <row r="2" spans="2:9" s="196" customFormat="1" ht="25.8" x14ac:dyDescent="0.5">
      <c r="B2" s="241" t="s">
        <v>106</v>
      </c>
      <c r="C2" s="241"/>
      <c r="D2" s="241"/>
      <c r="E2" s="241"/>
      <c r="F2" s="241"/>
      <c r="G2" s="241"/>
      <c r="H2" s="241"/>
      <c r="I2" s="241"/>
    </row>
    <row r="3" spans="2:9" s="196" customFormat="1" ht="18" customHeight="1" x14ac:dyDescent="0.5"/>
    <row r="4" spans="2:9" ht="15.6" x14ac:dyDescent="0.3">
      <c r="B4" s="197"/>
      <c r="C4" s="198"/>
      <c r="D4" s="198"/>
      <c r="E4" s="198"/>
      <c r="F4" s="198"/>
      <c r="G4" s="198"/>
      <c r="H4" s="198"/>
      <c r="I4" s="199"/>
    </row>
    <row r="5" spans="2:9" ht="37.5" customHeight="1" x14ac:dyDescent="0.3">
      <c r="B5" s="201"/>
      <c r="C5" s="239" t="s">
        <v>127</v>
      </c>
      <c r="D5" s="239"/>
      <c r="E5" s="239"/>
      <c r="F5" s="239"/>
      <c r="G5" s="239"/>
      <c r="H5" s="239"/>
      <c r="I5" s="240"/>
    </row>
    <row r="6" spans="2:9" ht="90" customHeight="1" x14ac:dyDescent="0.3">
      <c r="B6" s="201"/>
      <c r="C6" s="239" t="s">
        <v>134</v>
      </c>
      <c r="D6" s="239"/>
      <c r="E6" s="239"/>
      <c r="F6" s="239"/>
      <c r="G6" s="239"/>
      <c r="H6" s="239"/>
      <c r="I6" s="240"/>
    </row>
    <row r="7" spans="2:9" ht="13.5" customHeight="1" x14ac:dyDescent="0.3">
      <c r="B7" s="201"/>
      <c r="C7" s="242" t="s">
        <v>129</v>
      </c>
      <c r="D7" s="242"/>
      <c r="E7" s="242"/>
      <c r="F7" s="242"/>
      <c r="G7" s="242"/>
      <c r="H7" s="242"/>
      <c r="I7" s="243"/>
    </row>
    <row r="8" spans="2:9" ht="18" customHeight="1" x14ac:dyDescent="0.3">
      <c r="B8" s="201"/>
      <c r="C8" s="242"/>
      <c r="D8" s="242"/>
      <c r="E8" s="242"/>
      <c r="F8" s="242"/>
      <c r="G8" s="242"/>
      <c r="H8" s="242"/>
      <c r="I8" s="243"/>
    </row>
    <row r="9" spans="2:9" ht="37.5" customHeight="1" x14ac:dyDescent="0.3">
      <c r="B9" s="201"/>
      <c r="C9" s="244" t="s">
        <v>133</v>
      </c>
      <c r="D9" s="244"/>
      <c r="E9" s="244"/>
      <c r="F9" s="244"/>
      <c r="G9" s="244"/>
      <c r="H9" s="244"/>
      <c r="I9" s="245"/>
    </row>
    <row r="10" spans="2:9" ht="15" customHeight="1" x14ac:dyDescent="0.3">
      <c r="B10" s="201"/>
      <c r="C10" s="202"/>
      <c r="D10" s="202"/>
      <c r="E10" s="202"/>
      <c r="F10" s="202"/>
      <c r="G10" s="202"/>
      <c r="H10" s="202"/>
      <c r="I10" s="203"/>
    </row>
    <row r="11" spans="2:9" ht="76.5" customHeight="1" x14ac:dyDescent="0.3">
      <c r="B11" s="201"/>
      <c r="C11" s="239" t="s">
        <v>126</v>
      </c>
      <c r="D11" s="239"/>
      <c r="E11" s="239"/>
      <c r="F11" s="239"/>
      <c r="G11" s="239"/>
      <c r="H11" s="239"/>
      <c r="I11" s="240"/>
    </row>
    <row r="12" spans="2:9" ht="4.95" customHeight="1" x14ac:dyDescent="0.3">
      <c r="B12" s="201"/>
      <c r="C12" s="235" t="s">
        <v>107</v>
      </c>
      <c r="D12" s="235"/>
      <c r="E12" s="235"/>
      <c r="F12" s="235"/>
      <c r="G12" s="235"/>
      <c r="H12" s="235"/>
      <c r="I12" s="236"/>
    </row>
    <row r="13" spans="2:9" x14ac:dyDescent="0.3">
      <c r="B13" s="204"/>
      <c r="C13" s="237"/>
      <c r="D13" s="237"/>
      <c r="E13" s="237"/>
      <c r="F13" s="237"/>
      <c r="G13" s="237"/>
      <c r="H13" s="237"/>
      <c r="I13" s="238"/>
    </row>
  </sheetData>
  <mergeCells count="7">
    <mergeCell ref="C12:I13"/>
    <mergeCell ref="C6:I6"/>
    <mergeCell ref="B2:I2"/>
    <mergeCell ref="C5:I5"/>
    <mergeCell ref="C11:I11"/>
    <mergeCell ref="C7:I8"/>
    <mergeCell ref="C9:I9"/>
  </mergeCells>
  <hyperlinks>
    <hyperlink ref="C12:I13" r:id="rId1" display="Länk till programsidan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11"/>
  <sheetViews>
    <sheetView showGridLines="0" tabSelected="1" zoomScaleNormal="100" workbookViewId="0">
      <selection activeCell="F52" sqref="F52"/>
    </sheetView>
  </sheetViews>
  <sheetFormatPr defaultColWidth="9.109375" defaultRowHeight="17.25" customHeight="1" x14ac:dyDescent="0.3"/>
  <cols>
    <col min="1" max="1" width="3.33203125" style="4" customWidth="1"/>
    <col min="2" max="2" width="8.33203125" style="4" customWidth="1"/>
    <col min="3" max="3" width="50" style="5" customWidth="1"/>
    <col min="4" max="4" width="6" style="5" customWidth="1"/>
    <col min="5" max="5" width="7.33203125" style="5" customWidth="1"/>
    <col min="6" max="6" width="23.5546875" style="5" customWidth="1"/>
    <col min="7" max="7" width="21.44140625" style="5" customWidth="1"/>
    <col min="8" max="8" width="15.109375" style="5" customWidth="1"/>
    <col min="9" max="9" width="14.109375" style="5" customWidth="1"/>
    <col min="10" max="10" width="13.33203125" style="5" customWidth="1"/>
    <col min="11" max="11" width="10" style="223" customWidth="1"/>
    <col min="12" max="12" width="9.5546875" style="223" customWidth="1"/>
    <col min="13" max="13" width="9.88671875" style="5" customWidth="1"/>
    <col min="14" max="14" width="10.33203125" style="5" customWidth="1"/>
    <col min="15" max="15" width="24.109375" style="5" customWidth="1"/>
    <col min="16" max="16" width="2.33203125" style="4" customWidth="1"/>
    <col min="17" max="17" width="28.44140625" style="5" customWidth="1"/>
    <col min="18" max="18" width="16" style="5" customWidth="1"/>
    <col min="19" max="19" width="14.6640625" style="5" customWidth="1"/>
    <col min="20" max="20" width="19.33203125" style="5" customWidth="1"/>
    <col min="21" max="21" width="19.6640625" style="5" customWidth="1"/>
    <col min="22" max="22" width="8.44140625" style="5" customWidth="1"/>
    <col min="23" max="23" width="3.5546875" style="5" customWidth="1"/>
    <col min="24" max="16384" width="9.109375" style="5"/>
  </cols>
  <sheetData>
    <row r="1" spans="2:49" ht="46.5" customHeight="1" thickBot="1" x14ac:dyDescent="0.35">
      <c r="B1" s="308" t="s">
        <v>128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2:49" ht="47.25" customHeight="1" x14ac:dyDescent="0.4">
      <c r="B2" s="336" t="s">
        <v>76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8"/>
      <c r="P2" s="6"/>
      <c r="Q2" s="265" t="s">
        <v>94</v>
      </c>
      <c r="R2" s="266"/>
      <c r="S2" s="266"/>
      <c r="T2" s="266"/>
      <c r="U2" s="267"/>
      <c r="V2" s="6"/>
      <c r="W2" s="6"/>
      <c r="X2" s="6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2:49" ht="27" customHeight="1" x14ac:dyDescent="0.4"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1"/>
      <c r="Q3" s="268" t="s">
        <v>58</v>
      </c>
      <c r="R3" s="269"/>
      <c r="S3" s="269"/>
      <c r="T3" s="269"/>
      <c r="U3" s="278" t="s">
        <v>53</v>
      </c>
      <c r="V3" s="4"/>
      <c r="W3" s="4"/>
      <c r="X3" s="342" t="s">
        <v>131</v>
      </c>
      <c r="Y3" s="343"/>
      <c r="Z3" s="34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2:49" ht="21" customHeight="1" thickBot="1" x14ac:dyDescent="0.4"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1"/>
      <c r="Q4" s="62" t="s">
        <v>38</v>
      </c>
      <c r="R4" s="63"/>
      <c r="S4" s="64" t="s">
        <v>1</v>
      </c>
      <c r="T4" s="64" t="s">
        <v>14</v>
      </c>
      <c r="U4" s="278"/>
      <c r="V4" s="4"/>
      <c r="W4" s="4"/>
      <c r="X4" s="345"/>
      <c r="Y4" s="346"/>
      <c r="Z4" s="347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2:49" ht="24.75" customHeight="1" x14ac:dyDescent="0.3">
      <c r="B5" s="226"/>
      <c r="C5" s="225"/>
      <c r="D5" s="225"/>
      <c r="E5" s="225"/>
      <c r="F5" s="291" t="s">
        <v>36</v>
      </c>
      <c r="G5" s="293" t="s">
        <v>37</v>
      </c>
      <c r="H5" s="297" t="s">
        <v>50</v>
      </c>
      <c r="I5" s="298"/>
      <c r="J5" s="299"/>
      <c r="K5" s="303" t="s">
        <v>115</v>
      </c>
      <c r="L5" s="295" t="s">
        <v>116</v>
      </c>
      <c r="M5" s="295" t="s">
        <v>122</v>
      </c>
      <c r="N5" s="295" t="s">
        <v>61</v>
      </c>
      <c r="O5" s="276" t="s">
        <v>16</v>
      </c>
      <c r="Q5" s="65" t="s">
        <v>67</v>
      </c>
      <c r="R5" s="66"/>
      <c r="S5" s="67">
        <f>SUMIFS(D8:D36,N8:N36,"x")</f>
        <v>0</v>
      </c>
      <c r="T5" s="67">
        <v>180</v>
      </c>
      <c r="U5" s="68">
        <f>IF((T5-S5)&lt;0,0,SUM(T5-S5))</f>
        <v>180</v>
      </c>
      <c r="V5" s="7"/>
      <c r="W5" s="7"/>
      <c r="X5" s="345"/>
      <c r="Y5" s="346"/>
      <c r="Z5" s="347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2:49" ht="31.5" customHeight="1" x14ac:dyDescent="0.3">
      <c r="B6" s="8" t="s">
        <v>44</v>
      </c>
      <c r="C6" s="9" t="s">
        <v>0</v>
      </c>
      <c r="D6" s="9" t="s">
        <v>3</v>
      </c>
      <c r="E6" s="9" t="s">
        <v>15</v>
      </c>
      <c r="F6" s="292"/>
      <c r="G6" s="294"/>
      <c r="H6" s="109" t="s">
        <v>49</v>
      </c>
      <c r="I6" s="224" t="s">
        <v>6</v>
      </c>
      <c r="J6" s="224" t="s">
        <v>92</v>
      </c>
      <c r="K6" s="304"/>
      <c r="L6" s="305"/>
      <c r="M6" s="296"/>
      <c r="N6" s="296"/>
      <c r="O6" s="277"/>
      <c r="Q6" s="69" t="s">
        <v>62</v>
      </c>
      <c r="R6" s="66"/>
      <c r="S6" s="70">
        <f>SUMIFS(D8:D36,O8:O36,"Skogsbruksvetenskap",E8:E36,"G1N",N8:N36,"x")+SUMIFS(D8:D36,O8:O36,"Skogsbruksvetenskap",E8:E36,"G1F",N8:N36,"x")+SUMIFS(D8:D36,O8:O36,"Skogsbruksvetenskap",E8:E36,"G2F",N8:N36,"X")</f>
        <v>0</v>
      </c>
      <c r="T6" s="70">
        <v>75</v>
      </c>
      <c r="U6" s="68">
        <f t="shared" ref="U6" si="0">IF((T6-S6)&lt;0,0,SUM(T6-S6))</f>
        <v>75</v>
      </c>
      <c r="V6" s="7"/>
      <c r="W6" s="7"/>
      <c r="X6" s="345"/>
      <c r="Y6" s="346"/>
      <c r="Z6" s="347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9" ht="21.75" customHeight="1" x14ac:dyDescent="0.3">
      <c r="B7" s="10"/>
      <c r="C7" s="11" t="s">
        <v>70</v>
      </c>
      <c r="D7" s="11"/>
      <c r="E7" s="11"/>
      <c r="F7" s="12"/>
      <c r="G7" s="12"/>
      <c r="H7" s="12"/>
      <c r="I7" s="13"/>
      <c r="J7" s="14"/>
      <c r="K7" s="213"/>
      <c r="L7" s="213"/>
      <c r="M7" s="14"/>
      <c r="N7" s="14"/>
      <c r="O7" s="15"/>
      <c r="Q7" s="69" t="s">
        <v>63</v>
      </c>
      <c r="R7" s="66"/>
      <c r="S7" s="70">
        <f>SUMIFS(D8:D36,O8:O36,"Skogsbruksvetenskap",E8:E36,"G2F",N8:N36,"x")</f>
        <v>0</v>
      </c>
      <c r="T7" s="70">
        <v>15</v>
      </c>
      <c r="U7" s="68">
        <f>IF((T7-S7)&lt;0,0,SUM(T7-S7))</f>
        <v>15</v>
      </c>
      <c r="V7" s="7"/>
      <c r="W7" s="7"/>
      <c r="X7" s="345"/>
      <c r="Y7" s="346"/>
      <c r="Z7" s="34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2:49" ht="32.25" customHeight="1" x14ac:dyDescent="0.3">
      <c r="B8" s="211" t="s">
        <v>117</v>
      </c>
      <c r="C8" s="50" t="s">
        <v>90</v>
      </c>
      <c r="D8" s="51">
        <v>15</v>
      </c>
      <c r="E8" s="51" t="s">
        <v>20</v>
      </c>
      <c r="F8" s="52" t="s">
        <v>5</v>
      </c>
      <c r="G8" s="51" t="s">
        <v>4</v>
      </c>
      <c r="H8" s="51"/>
      <c r="I8" s="51">
        <v>15</v>
      </c>
      <c r="J8" s="51"/>
      <c r="K8" s="51"/>
      <c r="L8" s="51"/>
      <c r="M8" s="51">
        <v>15</v>
      </c>
      <c r="N8" s="17"/>
      <c r="O8" s="18"/>
      <c r="P8" s="19"/>
      <c r="Q8" s="69" t="s">
        <v>59</v>
      </c>
      <c r="R8" s="71"/>
      <c r="S8" s="70">
        <f>SUMIFS(D8:D50,O8:O50,"Skogsbruksvetenskap",E8:E50,"G2E",N8:N50,"X")</f>
        <v>0</v>
      </c>
      <c r="T8" s="72">
        <v>15</v>
      </c>
      <c r="U8" s="68">
        <f>IF((T8-S8)&lt;0,0,SUM(T8-S8))</f>
        <v>15</v>
      </c>
      <c r="V8" s="185">
        <f>SUM(U5:U8)</f>
        <v>285</v>
      </c>
      <c r="W8" s="19"/>
      <c r="X8" s="345"/>
      <c r="Y8" s="346"/>
      <c r="Z8" s="347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2:49" ht="36.75" customHeight="1" x14ac:dyDescent="0.35">
      <c r="B9" s="211" t="s">
        <v>118</v>
      </c>
      <c r="C9" s="53" t="s">
        <v>91</v>
      </c>
      <c r="D9" s="54">
        <v>15</v>
      </c>
      <c r="E9" s="54" t="s">
        <v>20</v>
      </c>
      <c r="F9" s="55" t="s">
        <v>26</v>
      </c>
      <c r="G9" s="54"/>
      <c r="H9" s="54"/>
      <c r="I9" s="54"/>
      <c r="J9" s="54"/>
      <c r="K9" s="54"/>
      <c r="L9" s="54"/>
      <c r="M9" s="54"/>
      <c r="N9" s="30"/>
      <c r="O9" s="18" t="s">
        <v>26</v>
      </c>
      <c r="Q9" s="73" t="s">
        <v>86</v>
      </c>
      <c r="R9" s="74"/>
      <c r="S9" s="74"/>
      <c r="T9" s="74"/>
      <c r="U9" s="227" t="s">
        <v>53</v>
      </c>
      <c r="V9" s="20"/>
      <c r="W9" s="19"/>
      <c r="X9" s="345"/>
      <c r="Y9" s="346"/>
      <c r="Z9" s="347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2:49" ht="27.75" customHeight="1" x14ac:dyDescent="0.3">
      <c r="B10" s="228" t="s">
        <v>114</v>
      </c>
      <c r="C10" s="53" t="s">
        <v>45</v>
      </c>
      <c r="D10" s="54">
        <v>15</v>
      </c>
      <c r="E10" s="54" t="s">
        <v>20</v>
      </c>
      <c r="F10" s="55" t="s">
        <v>5</v>
      </c>
      <c r="G10" s="54"/>
      <c r="H10" s="54"/>
      <c r="I10" s="54"/>
      <c r="J10" s="54"/>
      <c r="K10" s="54"/>
      <c r="L10" s="54"/>
      <c r="M10" s="54">
        <v>15</v>
      </c>
      <c r="N10" s="30"/>
      <c r="O10" s="18" t="s">
        <v>5</v>
      </c>
      <c r="Q10" s="65" t="s">
        <v>68</v>
      </c>
      <c r="R10" s="76"/>
      <c r="S10" s="77">
        <f>SUMIFS(D8:D36,N8:N36,"X")</f>
        <v>0</v>
      </c>
      <c r="T10" s="77">
        <v>180</v>
      </c>
      <c r="U10" s="78">
        <f>IF((T10-S10)&lt;0,0,SUM(T10-S10))</f>
        <v>180</v>
      </c>
      <c r="V10" s="20"/>
      <c r="W10" s="19"/>
      <c r="X10" s="345"/>
      <c r="Y10" s="346"/>
      <c r="Z10" s="347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2:49" ht="32.25" customHeight="1" x14ac:dyDescent="0.3">
      <c r="B11" s="211" t="s">
        <v>119</v>
      </c>
      <c r="C11" s="53" t="s">
        <v>46</v>
      </c>
      <c r="D11" s="54">
        <v>15</v>
      </c>
      <c r="E11" s="54" t="s">
        <v>21</v>
      </c>
      <c r="F11" s="55" t="s">
        <v>4</v>
      </c>
      <c r="G11" s="54"/>
      <c r="H11" s="54">
        <v>2.5</v>
      </c>
      <c r="I11" s="54">
        <v>10</v>
      </c>
      <c r="J11" s="54">
        <v>2.5</v>
      </c>
      <c r="K11" s="215"/>
      <c r="L11" s="215"/>
      <c r="M11" s="54"/>
      <c r="N11" s="30"/>
      <c r="O11" s="18" t="s">
        <v>4</v>
      </c>
      <c r="Q11" s="69" t="s">
        <v>87</v>
      </c>
      <c r="R11" s="76"/>
      <c r="S11" s="79">
        <f>SUMIFS(D8:D36,O8:O36,"Landskapsarkitektur",E8:E36,"G1N",N8:N36,"X")+SUMIFS(D8:D36,O8:O36,"Landskapsarkitektur",E8:E36,"G1F",N8:N36,"X")+SUMIFS(D8:D36,O8:O36,"Landskapsarkitektur",E8:E36,"G2F",N8:N36,"X")</f>
        <v>0</v>
      </c>
      <c r="T11" s="79">
        <v>75</v>
      </c>
      <c r="U11" s="78">
        <f>IF((T11-S11)&lt;0,0,SUM(T11-S11))</f>
        <v>75</v>
      </c>
      <c r="V11" s="20"/>
      <c r="W11" s="19"/>
      <c r="X11" s="348"/>
      <c r="Y11" s="349"/>
      <c r="Z11" s="350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2:49" ht="27.75" customHeight="1" x14ac:dyDescent="0.3">
      <c r="B12" s="133"/>
      <c r="C12" s="134" t="s">
        <v>71</v>
      </c>
      <c r="D12" s="135"/>
      <c r="E12" s="135"/>
      <c r="F12" s="136"/>
      <c r="G12" s="135"/>
      <c r="H12" s="135"/>
      <c r="I12" s="135"/>
      <c r="J12" s="135"/>
      <c r="K12" s="216"/>
      <c r="L12" s="216"/>
      <c r="M12" s="135"/>
      <c r="N12" s="123"/>
      <c r="O12" s="124"/>
      <c r="Q12" s="69" t="s">
        <v>63</v>
      </c>
      <c r="R12" s="76"/>
      <c r="S12" s="79">
        <f>SUMIFS(D8:D36,O8:O36,"Landskapsarkitektur",E8:E36,"G2F",N8:N36,"X")</f>
        <v>0</v>
      </c>
      <c r="T12" s="79">
        <v>15</v>
      </c>
      <c r="U12" s="78">
        <f>IF((T12-S12)&lt;0,0,SUM(T12-S12))</f>
        <v>15</v>
      </c>
      <c r="V12" s="20"/>
      <c r="W12" s="19"/>
      <c r="X12" s="1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2:49" ht="27.75" customHeight="1" thickBot="1" x14ac:dyDescent="0.35">
      <c r="B13" s="49" t="s">
        <v>78</v>
      </c>
      <c r="C13" s="137" t="s">
        <v>77</v>
      </c>
      <c r="D13" s="56">
        <v>7.5</v>
      </c>
      <c r="E13" s="56" t="s">
        <v>21</v>
      </c>
      <c r="F13" s="57" t="s">
        <v>26</v>
      </c>
      <c r="G13" s="56"/>
      <c r="H13" s="56"/>
      <c r="I13" s="56"/>
      <c r="J13" s="56"/>
      <c r="K13" s="217"/>
      <c r="L13" s="217"/>
      <c r="M13" s="56"/>
      <c r="N13" s="110"/>
      <c r="O13" s="23" t="s">
        <v>26</v>
      </c>
      <c r="Q13" s="80" t="s">
        <v>88</v>
      </c>
      <c r="R13" s="81"/>
      <c r="S13" s="82">
        <f>SUMIFS(D8:D36,O8:O36,"Landskapsarkitektur",E8:E36,"G2E",N8:N36,"x")</f>
        <v>0</v>
      </c>
      <c r="T13" s="82">
        <v>15</v>
      </c>
      <c r="U13" s="143">
        <f t="shared" ref="U13" si="1">IF((T13-11)&lt;0,0,SUM(T13-S13))</f>
        <v>15</v>
      </c>
      <c r="V13" s="20"/>
      <c r="W13" s="19"/>
      <c r="X13" s="19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2:49" ht="30.75" customHeight="1" thickBot="1" x14ac:dyDescent="0.35">
      <c r="B14" s="211" t="s">
        <v>120</v>
      </c>
      <c r="C14" s="60" t="s">
        <v>79</v>
      </c>
      <c r="D14" s="54">
        <v>7.5</v>
      </c>
      <c r="E14" s="54" t="s">
        <v>21</v>
      </c>
      <c r="F14" s="55" t="s">
        <v>26</v>
      </c>
      <c r="G14" s="61"/>
      <c r="H14" s="61"/>
      <c r="I14" s="61"/>
      <c r="J14" s="61"/>
      <c r="K14" s="218"/>
      <c r="L14" s="218"/>
      <c r="M14" s="61"/>
      <c r="N14" s="39"/>
      <c r="O14" s="23" t="s">
        <v>26</v>
      </c>
      <c r="Q14" s="4"/>
      <c r="R14" s="4"/>
      <c r="S14" s="4"/>
      <c r="T14" s="4"/>
      <c r="U14" s="4"/>
      <c r="V14" s="185">
        <f>SUM(U10:U13)</f>
        <v>285</v>
      </c>
      <c r="W14" s="20">
        <f>SUM(S11+S13)</f>
        <v>0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2:49" ht="27.75" customHeight="1" x14ac:dyDescent="0.4">
      <c r="B15" s="49" t="s">
        <v>130</v>
      </c>
      <c r="C15" s="58" t="s">
        <v>95</v>
      </c>
      <c r="D15" s="54">
        <v>15</v>
      </c>
      <c r="E15" s="54" t="s">
        <v>20</v>
      </c>
      <c r="F15" s="55" t="s">
        <v>2</v>
      </c>
      <c r="G15" s="54"/>
      <c r="H15" s="61"/>
      <c r="I15" s="61"/>
      <c r="J15" s="61"/>
      <c r="K15" s="218"/>
      <c r="L15" s="218"/>
      <c r="M15" s="61"/>
      <c r="N15" s="39"/>
      <c r="O15" s="23" t="s">
        <v>2</v>
      </c>
      <c r="Q15" s="300" t="s">
        <v>57</v>
      </c>
      <c r="R15" s="301"/>
      <c r="S15" s="301"/>
      <c r="T15" s="301"/>
      <c r="U15" s="30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2:49" ht="27.75" customHeight="1" x14ac:dyDescent="0.4">
      <c r="B16" s="49" t="s">
        <v>81</v>
      </c>
      <c r="C16" s="58" t="s">
        <v>82</v>
      </c>
      <c r="D16" s="54">
        <v>15</v>
      </c>
      <c r="E16" s="54" t="s">
        <v>21</v>
      </c>
      <c r="F16" s="55" t="s">
        <v>5</v>
      </c>
      <c r="G16" s="54" t="s">
        <v>26</v>
      </c>
      <c r="H16" s="61"/>
      <c r="I16" s="61"/>
      <c r="J16" s="61"/>
      <c r="K16" s="218"/>
      <c r="L16" s="218"/>
      <c r="M16" s="61"/>
      <c r="N16" s="39"/>
      <c r="O16" s="23"/>
      <c r="Q16" s="285" t="s">
        <v>54</v>
      </c>
      <c r="R16" s="286"/>
      <c r="S16" s="286"/>
      <c r="T16" s="286"/>
      <c r="U16" s="287" t="s">
        <v>53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47" ht="27.75" customHeight="1" x14ac:dyDescent="0.35">
      <c r="B17" s="138" t="s">
        <v>80</v>
      </c>
      <c r="C17" s="61" t="s">
        <v>47</v>
      </c>
      <c r="D17" s="54">
        <v>7.5</v>
      </c>
      <c r="E17" s="54" t="s">
        <v>21</v>
      </c>
      <c r="F17" s="55" t="s">
        <v>4</v>
      </c>
      <c r="G17" s="54"/>
      <c r="H17" s="54">
        <v>5</v>
      </c>
      <c r="I17" s="54"/>
      <c r="J17" s="54">
        <v>2.5</v>
      </c>
      <c r="K17" s="215"/>
      <c r="L17" s="215"/>
      <c r="M17" s="54"/>
      <c r="N17" s="21"/>
      <c r="O17" s="23" t="s">
        <v>4</v>
      </c>
      <c r="Q17" s="83" t="s">
        <v>38</v>
      </c>
      <c r="R17" s="84"/>
      <c r="S17" s="85" t="s">
        <v>1</v>
      </c>
      <c r="T17" s="85" t="s">
        <v>14</v>
      </c>
      <c r="U17" s="288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ht="33" customHeight="1" x14ac:dyDescent="0.3">
      <c r="B18" s="49" t="s">
        <v>123</v>
      </c>
      <c r="C18" s="58" t="s">
        <v>121</v>
      </c>
      <c r="D18" s="54">
        <v>7.5</v>
      </c>
      <c r="E18" s="54" t="s">
        <v>21</v>
      </c>
      <c r="F18" s="55" t="s">
        <v>4</v>
      </c>
      <c r="G18" s="54"/>
      <c r="H18" s="54"/>
      <c r="I18" s="54">
        <v>5</v>
      </c>
      <c r="J18" s="54"/>
      <c r="K18" s="215"/>
      <c r="L18" s="215"/>
      <c r="M18" s="54"/>
      <c r="N18" s="30"/>
      <c r="O18" s="23" t="s">
        <v>4</v>
      </c>
      <c r="Q18" s="102" t="s">
        <v>8</v>
      </c>
      <c r="R18" s="86"/>
      <c r="S18" s="115">
        <f>SUMIFS(D8:D56,O8:O56,"Skogsbruksvetenskap",N8:N56,"X")</f>
        <v>0</v>
      </c>
      <c r="T18" s="115">
        <v>135</v>
      </c>
      <c r="U18" s="184">
        <f>IF((T18-S18)&lt;0,0,SUM(T18-S18))</f>
        <v>135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2:47" ht="27.75" customHeight="1" x14ac:dyDescent="0.3">
      <c r="B19" s="49" t="s">
        <v>64</v>
      </c>
      <c r="C19" s="58" t="s">
        <v>65</v>
      </c>
      <c r="D19" s="54">
        <v>7.5</v>
      </c>
      <c r="E19" s="54" t="s">
        <v>20</v>
      </c>
      <c r="F19" s="55" t="s">
        <v>4</v>
      </c>
      <c r="G19" s="54" t="s">
        <v>5</v>
      </c>
      <c r="H19" s="54">
        <v>2</v>
      </c>
      <c r="I19" s="54">
        <v>4</v>
      </c>
      <c r="J19" s="54">
        <v>1.5</v>
      </c>
      <c r="K19" s="215"/>
      <c r="L19" s="215"/>
      <c r="M19" s="54"/>
      <c r="N19" s="30"/>
      <c r="O19" s="23"/>
      <c r="Q19" s="88" t="s">
        <v>9</v>
      </c>
      <c r="R19" s="89"/>
      <c r="S19" s="90">
        <f>SUMIFS(H8:H56,N8:N56,"X")</f>
        <v>0</v>
      </c>
      <c r="T19" s="90">
        <v>15</v>
      </c>
      <c r="U19" s="180">
        <f t="shared" ref="U19:U22" si="2">IF((T19-S19)&lt;0,0,SUM(T19-S19))</f>
        <v>15</v>
      </c>
      <c r="V19" s="20"/>
      <c r="W19" s="185">
        <f>IF(U18&lt;=0,T18,S18)</f>
        <v>0</v>
      </c>
      <c r="X19" s="20"/>
      <c r="Y19" s="4"/>
      <c r="Z19" s="319"/>
      <c r="AA19" s="319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2:47" ht="27.75" customHeight="1" x14ac:dyDescent="0.3">
      <c r="B20" s="139"/>
      <c r="C20" s="140" t="s">
        <v>83</v>
      </c>
      <c r="D20" s="141"/>
      <c r="E20" s="141"/>
      <c r="F20" s="142"/>
      <c r="G20" s="141"/>
      <c r="H20" s="141"/>
      <c r="I20" s="141"/>
      <c r="J20" s="141"/>
      <c r="K20" s="219"/>
      <c r="L20" s="219"/>
      <c r="M20" s="141"/>
      <c r="N20" s="125"/>
      <c r="O20" s="126"/>
      <c r="Q20" s="88" t="s">
        <v>6</v>
      </c>
      <c r="R20" s="89"/>
      <c r="S20" s="90">
        <f>SUMIFS(I8:I56,N8:N56,"X")</f>
        <v>0</v>
      </c>
      <c r="T20" s="90">
        <v>15</v>
      </c>
      <c r="U20" s="180">
        <f t="shared" si="2"/>
        <v>15</v>
      </c>
      <c r="V20" s="20"/>
      <c r="W20" s="20"/>
      <c r="X20" s="20"/>
      <c r="Y20" s="4"/>
      <c r="Z20" s="319"/>
      <c r="AA20" s="319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2:47" ht="30.75" customHeight="1" x14ac:dyDescent="0.3">
      <c r="B21" s="212" t="s">
        <v>123</v>
      </c>
      <c r="C21" s="59" t="s">
        <v>113</v>
      </c>
      <c r="D21" s="51">
        <v>15</v>
      </c>
      <c r="E21" s="51" t="s">
        <v>21</v>
      </c>
      <c r="F21" s="52" t="s">
        <v>4</v>
      </c>
      <c r="G21" s="51"/>
      <c r="H21" s="51">
        <v>6</v>
      </c>
      <c r="I21" s="51">
        <v>5</v>
      </c>
      <c r="J21" s="51">
        <v>4</v>
      </c>
      <c r="K21" s="51">
        <v>1</v>
      </c>
      <c r="L21" s="214"/>
      <c r="M21" s="51"/>
      <c r="N21" s="17"/>
      <c r="O21" s="25" t="s">
        <v>4</v>
      </c>
      <c r="Q21" s="88" t="s">
        <v>7</v>
      </c>
      <c r="R21" s="91"/>
      <c r="S21" s="90">
        <f>SUMIFS(J8:J56,N8:N56,"X")</f>
        <v>0</v>
      </c>
      <c r="T21" s="92">
        <v>15</v>
      </c>
      <c r="U21" s="180">
        <f t="shared" si="2"/>
        <v>15</v>
      </c>
      <c r="V21" s="19"/>
      <c r="W21" s="20"/>
      <c r="X21" s="20"/>
      <c r="Y21" s="4"/>
      <c r="Z21" s="319"/>
      <c r="AA21" s="31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2:47" ht="27.75" customHeight="1" x14ac:dyDescent="0.3">
      <c r="B22" s="49" t="s">
        <v>124</v>
      </c>
      <c r="C22" s="58" t="s">
        <v>125</v>
      </c>
      <c r="D22" s="54">
        <v>15</v>
      </c>
      <c r="E22" s="54" t="s">
        <v>20</v>
      </c>
      <c r="F22" s="55" t="s">
        <v>26</v>
      </c>
      <c r="G22" s="54"/>
      <c r="H22" s="60"/>
      <c r="I22" s="54"/>
      <c r="J22" s="60"/>
      <c r="K22" s="218"/>
      <c r="L22" s="218"/>
      <c r="M22" s="60"/>
      <c r="N22" s="17"/>
      <c r="O22" s="25" t="s">
        <v>26</v>
      </c>
      <c r="Q22" s="88" t="s">
        <v>41</v>
      </c>
      <c r="R22" s="91"/>
      <c r="S22" s="92">
        <f>SUMIFS(D8:D56,O8:O56,"Skogsbruksvetenskap",E8:E56,"G2F",N8:N56,"X")</f>
        <v>0</v>
      </c>
      <c r="T22" s="92">
        <v>15</v>
      </c>
      <c r="U22" s="180">
        <f t="shared" si="2"/>
        <v>15</v>
      </c>
      <c r="V22" s="20"/>
      <c r="W22" s="20"/>
      <c r="X22" s="20"/>
      <c r="Y22" s="4"/>
      <c r="Z22" s="319"/>
      <c r="AA22" s="319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2:47" ht="33" customHeight="1" x14ac:dyDescent="0.3">
      <c r="B23" s="211" t="s">
        <v>123</v>
      </c>
      <c r="C23" s="58" t="s">
        <v>48</v>
      </c>
      <c r="D23" s="54">
        <v>15</v>
      </c>
      <c r="E23" s="54" t="s">
        <v>17</v>
      </c>
      <c r="F23" s="55" t="s">
        <v>4</v>
      </c>
      <c r="G23" s="54" t="s">
        <v>26</v>
      </c>
      <c r="H23" s="54">
        <v>15</v>
      </c>
      <c r="I23" s="54"/>
      <c r="J23" s="60"/>
      <c r="K23" s="218"/>
      <c r="L23" s="218"/>
      <c r="M23" s="60"/>
      <c r="N23" s="17"/>
      <c r="O23" s="25"/>
      <c r="Q23" s="88" t="s">
        <v>40</v>
      </c>
      <c r="R23" s="91"/>
      <c r="S23" s="92">
        <f>SUMIFS(D8:D56,O8:O56,"Skogsbruksvetenskap",E8:E56,"A1N",N8:N56,"X")+SUMIFS(D8:D56,O8:O56,"Skogsbruksvetenskap",E8:E56,"A1F",N8:N56,"x")</f>
        <v>0</v>
      </c>
      <c r="T23" s="92">
        <v>30</v>
      </c>
      <c r="U23" s="180">
        <f>IF((T23-S23)&lt;0,0,SUM(T23-S23))</f>
        <v>30</v>
      </c>
      <c r="V23" s="20"/>
      <c r="W23" s="20"/>
      <c r="X23" s="20"/>
      <c r="Y23" s="4"/>
      <c r="Z23" s="319"/>
      <c r="AA23" s="319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2:47" ht="27.75" customHeight="1" x14ac:dyDescent="0.3">
      <c r="B24" s="49" t="s">
        <v>97</v>
      </c>
      <c r="C24" s="58" t="s">
        <v>84</v>
      </c>
      <c r="D24" s="54">
        <v>15</v>
      </c>
      <c r="E24" s="54" t="s">
        <v>18</v>
      </c>
      <c r="F24" s="55" t="s">
        <v>26</v>
      </c>
      <c r="G24" s="54"/>
      <c r="H24" s="60"/>
      <c r="I24" s="54"/>
      <c r="J24" s="60"/>
      <c r="K24" s="218"/>
      <c r="L24" s="218"/>
      <c r="M24" s="60"/>
      <c r="N24" s="17"/>
      <c r="O24" s="25" t="s">
        <v>26</v>
      </c>
      <c r="Q24" s="93" t="s">
        <v>10</v>
      </c>
      <c r="R24" s="94"/>
      <c r="S24" s="87">
        <f>SUMIFS(D8:D56,O8:O56,"Biologi",N8:N56,"x")</f>
        <v>0</v>
      </c>
      <c r="T24" s="87">
        <v>30</v>
      </c>
      <c r="U24" s="180">
        <f>IF((T24-S24)&lt;0,0,SUM(T24-S24))</f>
        <v>30</v>
      </c>
      <c r="V24" s="20"/>
      <c r="W24" s="20"/>
      <c r="X24" s="20"/>
      <c r="Y24" s="4"/>
      <c r="Z24" s="319"/>
      <c r="AA24" s="319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2:47" ht="27.75" customHeight="1" x14ac:dyDescent="0.3">
      <c r="B25" s="49" t="s">
        <v>96</v>
      </c>
      <c r="C25" s="58" t="s">
        <v>85</v>
      </c>
      <c r="D25" s="54">
        <v>15</v>
      </c>
      <c r="E25" s="54" t="s">
        <v>18</v>
      </c>
      <c r="F25" s="55" t="s">
        <v>4</v>
      </c>
      <c r="G25" s="54"/>
      <c r="H25" s="60"/>
      <c r="I25" s="54"/>
      <c r="J25" s="60"/>
      <c r="K25" s="218"/>
      <c r="L25" s="218"/>
      <c r="M25" s="60"/>
      <c r="N25" s="17"/>
      <c r="O25" s="25" t="s">
        <v>4</v>
      </c>
      <c r="Q25" s="95" t="s">
        <v>11</v>
      </c>
      <c r="R25" s="89"/>
      <c r="S25" s="90">
        <f>SUMIFS(M8:M56,N8:N56,"X")</f>
        <v>0</v>
      </c>
      <c r="T25" s="90">
        <v>15</v>
      </c>
      <c r="U25" s="180">
        <f>IF((T25-S25)&lt;0,0,SUM(T25-S25))</f>
        <v>15</v>
      </c>
      <c r="V25" s="20"/>
      <c r="W25" s="185">
        <f>IF(U24&lt;=0,T24,S24)</f>
        <v>0</v>
      </c>
      <c r="X25" s="20"/>
      <c r="Y25" s="4"/>
      <c r="Z25" s="319"/>
      <c r="AA25" s="319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50.25" customHeight="1" x14ac:dyDescent="0.3">
      <c r="B26" s="205" t="s">
        <v>44</v>
      </c>
      <c r="C26" s="210" t="s">
        <v>75</v>
      </c>
      <c r="D26" s="206" t="s">
        <v>3</v>
      </c>
      <c r="E26" s="207" t="s">
        <v>15</v>
      </c>
      <c r="F26" s="208" t="s">
        <v>36</v>
      </c>
      <c r="G26" s="207" t="s">
        <v>37</v>
      </c>
      <c r="H26" s="229" t="s">
        <v>49</v>
      </c>
      <c r="I26" s="229" t="s">
        <v>6</v>
      </c>
      <c r="J26" s="229" t="s">
        <v>92</v>
      </c>
      <c r="K26" s="208" t="s">
        <v>115</v>
      </c>
      <c r="L26" s="208" t="s">
        <v>116</v>
      </c>
      <c r="M26" s="229" t="s">
        <v>51</v>
      </c>
      <c r="N26" s="229" t="s">
        <v>89</v>
      </c>
      <c r="O26" s="209"/>
      <c r="Q26" s="93" t="s">
        <v>12</v>
      </c>
      <c r="R26" s="89"/>
      <c r="S26" s="87">
        <f>SUMIFS(D8:D56,O8:O56,"Företagsekonomi",N8:N56,"X")+SUMIFS(D8:D56,O8:O56,"Nationalekonomi",N8:N56,"X")+SUMIFS(D8:D56,O8:O56,"Bioekonomimanagement",N8:N56,"X")</f>
        <v>0</v>
      </c>
      <c r="T26" s="87">
        <v>30</v>
      </c>
      <c r="U26" s="180">
        <f>IF((T26-S26)&lt;0,0,SUM(T26-S26))</f>
        <v>30</v>
      </c>
      <c r="V26" s="20"/>
      <c r="W26" s="20"/>
      <c r="X26" s="20"/>
      <c r="Y26" s="4"/>
      <c r="Z26" s="319"/>
      <c r="AA26" s="319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ht="24.75" customHeight="1" thickBot="1" x14ac:dyDescent="0.35">
      <c r="B27" s="16"/>
      <c r="C27" s="29"/>
      <c r="D27" s="29"/>
      <c r="E27" s="21"/>
      <c r="F27" s="22"/>
      <c r="G27" s="21"/>
      <c r="H27" s="29"/>
      <c r="I27" s="29"/>
      <c r="J27" s="29"/>
      <c r="K27" s="220"/>
      <c r="L27" s="220"/>
      <c r="M27" s="29"/>
      <c r="N27" s="29"/>
      <c r="O27" s="25"/>
      <c r="Q27" s="96" t="s">
        <v>2</v>
      </c>
      <c r="R27" s="97"/>
      <c r="S27" s="98">
        <f>SUMIFS(D8:D56,O8:O56,"Företagsekonomi",N8:N56,"X")</f>
        <v>0</v>
      </c>
      <c r="T27" s="98">
        <v>15</v>
      </c>
      <c r="U27" s="181">
        <f>IF((T27-S27)&lt;0,0,SUM(T27-S27))</f>
        <v>15</v>
      </c>
      <c r="V27" s="20"/>
      <c r="W27" s="185">
        <f>IF(U26&lt;=0,T26,S26)</f>
        <v>0</v>
      </c>
      <c r="X27" s="20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ht="24.75" customHeight="1" x14ac:dyDescent="0.4">
      <c r="B28" s="16"/>
      <c r="C28" s="29"/>
      <c r="D28" s="29"/>
      <c r="E28" s="21"/>
      <c r="F28" s="22"/>
      <c r="G28" s="21"/>
      <c r="H28" s="29"/>
      <c r="I28" s="29"/>
      <c r="J28" s="29"/>
      <c r="K28" s="220"/>
      <c r="L28" s="220"/>
      <c r="M28" s="29"/>
      <c r="N28" s="29"/>
      <c r="O28" s="25"/>
      <c r="Q28" s="326" t="s">
        <v>55</v>
      </c>
      <c r="R28" s="327"/>
      <c r="S28" s="327"/>
      <c r="T28" s="327"/>
      <c r="U28" s="328" t="s">
        <v>53</v>
      </c>
      <c r="V28" s="20"/>
      <c r="W28" s="20"/>
      <c r="X28" s="20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ht="24.75" customHeight="1" x14ac:dyDescent="0.35">
      <c r="B29" s="16"/>
      <c r="C29" s="29"/>
      <c r="D29" s="29"/>
      <c r="E29" s="21"/>
      <c r="F29" s="22"/>
      <c r="G29" s="21"/>
      <c r="H29" s="29"/>
      <c r="I29" s="29"/>
      <c r="J29" s="29"/>
      <c r="K29" s="220"/>
      <c r="L29" s="220"/>
      <c r="M29" s="29"/>
      <c r="N29" s="29"/>
      <c r="O29" s="25"/>
      <c r="Q29" s="116" t="s">
        <v>38</v>
      </c>
      <c r="R29" s="99"/>
      <c r="S29" s="99" t="s">
        <v>1</v>
      </c>
      <c r="T29" s="99" t="s">
        <v>14</v>
      </c>
      <c r="U29" s="329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ht="24.75" customHeight="1" x14ac:dyDescent="0.3">
      <c r="B30" s="16"/>
      <c r="C30" s="29"/>
      <c r="D30" s="29"/>
      <c r="E30" s="21"/>
      <c r="F30" s="22"/>
      <c r="G30" s="21"/>
      <c r="H30" s="29"/>
      <c r="I30" s="29"/>
      <c r="J30" s="29"/>
      <c r="K30" s="220"/>
      <c r="L30" s="220"/>
      <c r="M30" s="29"/>
      <c r="N30" s="29"/>
      <c r="O30" s="25"/>
      <c r="Q30" s="100" t="s">
        <v>56</v>
      </c>
      <c r="R30" s="101"/>
      <c r="S30" s="115">
        <f>SUMIFS(D8:D56,N8:N56,"X")-(W19+W25+W27)-SUMIFS(D8:D56,O8:O56,"Annat ämne",N8:N56,"X")</f>
        <v>0</v>
      </c>
      <c r="T30" s="115">
        <v>105</v>
      </c>
      <c r="U30" s="193">
        <f>IF((T30-S30)&gt;105,"105",SUM(T30-S30))</f>
        <v>105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ht="24.75" customHeight="1" x14ac:dyDescent="0.3">
      <c r="B31" s="16"/>
      <c r="C31" s="29"/>
      <c r="D31" s="29"/>
      <c r="E31" s="21"/>
      <c r="F31" s="22"/>
      <c r="G31" s="21"/>
      <c r="H31" s="29"/>
      <c r="I31" s="29"/>
      <c r="J31" s="29"/>
      <c r="K31" s="220"/>
      <c r="L31" s="220"/>
      <c r="M31" s="29"/>
      <c r="N31" s="29"/>
      <c r="O31" s="25"/>
      <c r="Q31" s="102" t="s">
        <v>35</v>
      </c>
      <c r="R31" s="103"/>
      <c r="S31" s="117">
        <f>SUMIFS(D8:D56,E8:E56,"G2E",N8:N56,"X")</f>
        <v>0</v>
      </c>
      <c r="T31" s="117">
        <v>15</v>
      </c>
      <c r="U31" s="179">
        <f t="shared" ref="U31:U32" si="3">IF((T31-S31)&lt;0,0,SUM(T31-S31))</f>
        <v>15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2:47" ht="24.75" customHeight="1" x14ac:dyDescent="0.3">
      <c r="B32" s="16"/>
      <c r="C32" s="29"/>
      <c r="D32" s="29"/>
      <c r="E32" s="21"/>
      <c r="F32" s="22"/>
      <c r="G32" s="21"/>
      <c r="H32" s="29"/>
      <c r="I32" s="29"/>
      <c r="J32" s="29"/>
      <c r="K32" s="220"/>
      <c r="L32" s="220"/>
      <c r="M32" s="29"/>
      <c r="N32" s="29"/>
      <c r="O32" s="25"/>
      <c r="Q32" s="100" t="s">
        <v>111</v>
      </c>
      <c r="R32" s="103"/>
      <c r="S32" s="117">
        <f>SUMIFS(D8:D56,E8:E56,"A1N",N8:N56,"X")+SUMIFS(D8:D56,E8:E56,"A1F",N8:N56,"X")+SUMIFS(D8:D56,E8:E56,"A2E",N8:N56,"X")</f>
        <v>0</v>
      </c>
      <c r="T32" s="117">
        <v>90</v>
      </c>
      <c r="U32" s="179">
        <f t="shared" si="3"/>
        <v>90</v>
      </c>
      <c r="V32" s="4"/>
      <c r="W32" s="4"/>
      <c r="X32" s="20"/>
      <c r="Y32" s="20"/>
      <c r="Z32" s="20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2:48" ht="24.75" customHeight="1" x14ac:dyDescent="0.3">
      <c r="B33" s="16"/>
      <c r="C33" s="29"/>
      <c r="D33" s="29"/>
      <c r="E33" s="21"/>
      <c r="F33" s="22"/>
      <c r="G33" s="21"/>
      <c r="H33" s="29"/>
      <c r="I33" s="29"/>
      <c r="J33" s="29"/>
      <c r="K33" s="220"/>
      <c r="L33" s="220"/>
      <c r="M33" s="29"/>
      <c r="N33" s="29"/>
      <c r="O33" s="25"/>
      <c r="Q33" s="102" t="s">
        <v>72</v>
      </c>
      <c r="R33" s="118"/>
      <c r="S33" s="103"/>
      <c r="T33" s="103"/>
      <c r="U33" s="18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8" ht="26.25" customHeight="1" x14ac:dyDescent="0.3">
      <c r="B34" s="16"/>
      <c r="C34" s="29"/>
      <c r="D34" s="29"/>
      <c r="E34" s="21"/>
      <c r="F34" s="22"/>
      <c r="G34" s="21"/>
      <c r="H34" s="29"/>
      <c r="I34" s="29"/>
      <c r="J34" s="29"/>
      <c r="K34" s="220"/>
      <c r="L34" s="220"/>
      <c r="M34" s="29"/>
      <c r="N34" s="29"/>
      <c r="O34" s="25"/>
      <c r="P34" s="5"/>
      <c r="Q34" s="104" t="s">
        <v>42</v>
      </c>
      <c r="R34" s="103"/>
      <c r="S34" s="119">
        <f>SUMIFS(D8:D56,O8:O56,"Biologi",E8:E56,"A1N",N8:N56,"X")+SUMIFS(D8:D56,O8:O56,"Biologi",E8:E56,"A1F",N8:N56,"x")+SUMIFS(D8:D56,O8:O56,"Biologi",E8:E56,"A2E",N8:N56,"X")</f>
        <v>0</v>
      </c>
      <c r="T34" s="119">
        <v>60</v>
      </c>
      <c r="U34" s="179">
        <f t="shared" ref="U34:U39" si="4">IF((T34-S34)&lt;0,0,SUM(T34-S34))</f>
        <v>60</v>
      </c>
      <c r="V34" s="4"/>
      <c r="W34" s="4"/>
      <c r="X34" s="310" t="s">
        <v>131</v>
      </c>
      <c r="Y34" s="311"/>
      <c r="Z34" s="312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8" ht="21.75" customHeight="1" x14ac:dyDescent="0.3">
      <c r="B35" s="16"/>
      <c r="C35" s="29"/>
      <c r="D35" s="29"/>
      <c r="E35" s="21"/>
      <c r="F35" s="22"/>
      <c r="G35" s="21"/>
      <c r="H35" s="29"/>
      <c r="I35" s="29"/>
      <c r="J35" s="29"/>
      <c r="K35" s="220"/>
      <c r="L35" s="220"/>
      <c r="M35" s="29"/>
      <c r="N35" s="29"/>
      <c r="O35" s="25"/>
      <c r="P35" s="5"/>
      <c r="Q35" s="104" t="s">
        <v>4</v>
      </c>
      <c r="R35" s="103"/>
      <c r="S35" s="119">
        <f>SUMIFS(D8:D56,O8:O56,"Skogsbruksvetenskap",E8:E56,"A1N",N8:N56,"X")+SUMIFS(D8:D56,O8:O56,"Skogsbruksvetenskap",E8:E56,"A1F",N8:N56,"X")+SUMIFS(D8:D56,O8:O56,"Skogsbruksvetenskap",E8:E56,"A2E",N8:N56,"x")</f>
        <v>0</v>
      </c>
      <c r="T35" s="119">
        <v>60</v>
      </c>
      <c r="U35" s="179">
        <f t="shared" si="4"/>
        <v>60</v>
      </c>
      <c r="V35" s="4"/>
      <c r="W35" s="4"/>
      <c r="X35" s="313"/>
      <c r="Y35" s="314"/>
      <c r="Z35" s="315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8" ht="27.75" customHeight="1" thickBot="1" x14ac:dyDescent="0.35">
      <c r="B36" s="43"/>
      <c r="C36" s="45"/>
      <c r="D36" s="45"/>
      <c r="E36" s="111"/>
      <c r="F36" s="112"/>
      <c r="G36" s="111"/>
      <c r="H36" s="45"/>
      <c r="I36" s="45"/>
      <c r="J36" s="45"/>
      <c r="K36" s="221"/>
      <c r="L36" s="221"/>
      <c r="M36" s="45"/>
      <c r="N36" s="45"/>
      <c r="O36" s="127"/>
      <c r="P36" s="5"/>
      <c r="Q36" s="104" t="s">
        <v>2</v>
      </c>
      <c r="R36" s="103"/>
      <c r="S36" s="119">
        <f>SUMIFS(D8:D56,O8:O56,"Företagsekonomi",E8:E56,"A1N",N8:N56,"X")+SUMIFS(D8:D56,O8:O56,"Företagsekonomi",E8:E56,"A1F",N8:N56,"X")+SUMIFS(D8:D56,O8:O56,"Företagsekonomi",E8:E56,"A2E",N8:N56,"X")</f>
        <v>0</v>
      </c>
      <c r="T36" s="119">
        <v>60</v>
      </c>
      <c r="U36" s="179">
        <f t="shared" si="4"/>
        <v>60</v>
      </c>
      <c r="V36" s="4"/>
      <c r="W36" s="4"/>
      <c r="X36" s="313"/>
      <c r="Y36" s="314"/>
      <c r="Z36" s="315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8" ht="27.75" customHeight="1" x14ac:dyDescent="0.3">
      <c r="B37" s="320" t="s">
        <v>74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2"/>
      <c r="P37" s="5"/>
      <c r="Q37" s="104" t="s">
        <v>34</v>
      </c>
      <c r="R37" s="103"/>
      <c r="S37" s="119">
        <f>SUMIFS(D8:D56,O8:O56,"Bioekonomimanagement",E8:E56,"A1N",N8:N56,"X")+SUMIFS(D8:D56,O8:O56,"Bioekonomimanagement",E8:E56,"A1F",N8:N56,"X")+SUMIFS(D8:D56,O8:O56,"Bioekonomimanagement",E8:E56,"A2E",N8:N56,"X")</f>
        <v>0</v>
      </c>
      <c r="T37" s="119">
        <v>60</v>
      </c>
      <c r="U37" s="179">
        <f t="shared" si="4"/>
        <v>60</v>
      </c>
      <c r="V37" s="4"/>
      <c r="W37" s="4"/>
      <c r="X37" s="313"/>
      <c r="Y37" s="314"/>
      <c r="Z37" s="315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2:48" ht="27.75" customHeight="1" thickBot="1" x14ac:dyDescent="0.35">
      <c r="B38" s="323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5"/>
      <c r="P38" s="5"/>
      <c r="Q38" s="120" t="s">
        <v>13</v>
      </c>
      <c r="R38" s="121"/>
      <c r="S38" s="122">
        <f>SUMIFS(D8:D56,E8:E56,"A2E",N8:N56,"X")</f>
        <v>0</v>
      </c>
      <c r="T38" s="122">
        <v>30</v>
      </c>
      <c r="U38" s="183">
        <f t="shared" si="4"/>
        <v>30</v>
      </c>
      <c r="V38" s="4"/>
      <c r="W38" s="4"/>
      <c r="X38" s="313"/>
      <c r="Y38" s="314"/>
      <c r="Z38" s="315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2:48" ht="25.5" customHeight="1" thickTop="1" thickBot="1" x14ac:dyDescent="0.4">
      <c r="B39" s="113"/>
      <c r="C39" s="31"/>
      <c r="D39" s="31"/>
      <c r="E39" s="31"/>
      <c r="F39" s="292" t="s">
        <v>36</v>
      </c>
      <c r="G39" s="294" t="s">
        <v>37</v>
      </c>
      <c r="H39" s="304" t="s">
        <v>52</v>
      </c>
      <c r="I39" s="332"/>
      <c r="J39" s="333"/>
      <c r="K39" s="306" t="s">
        <v>132</v>
      </c>
      <c r="L39" s="306" t="s">
        <v>132</v>
      </c>
      <c r="M39" s="296" t="s">
        <v>51</v>
      </c>
      <c r="N39" s="335" t="s">
        <v>89</v>
      </c>
      <c r="O39" s="277" t="s">
        <v>16</v>
      </c>
      <c r="P39" s="5"/>
      <c r="Q39" s="105" t="s">
        <v>66</v>
      </c>
      <c r="R39" s="106"/>
      <c r="S39" s="107">
        <f>SUMIFS(D7:D56,N7:N56,"X")</f>
        <v>0</v>
      </c>
      <c r="T39" s="107">
        <v>300</v>
      </c>
      <c r="U39" s="108">
        <f t="shared" si="4"/>
        <v>300</v>
      </c>
      <c r="V39" s="4"/>
      <c r="W39" s="4"/>
      <c r="X39" s="313"/>
      <c r="Y39" s="314"/>
      <c r="Z39" s="315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2:48" ht="31.5" customHeight="1" x14ac:dyDescent="0.3">
      <c r="B40" s="32" t="s">
        <v>44</v>
      </c>
      <c r="C40" s="9" t="s">
        <v>39</v>
      </c>
      <c r="D40" s="33" t="s">
        <v>3</v>
      </c>
      <c r="E40" s="9" t="s">
        <v>15</v>
      </c>
      <c r="F40" s="330"/>
      <c r="G40" s="331"/>
      <c r="H40" s="34" t="s">
        <v>49</v>
      </c>
      <c r="I40" s="35" t="s">
        <v>6</v>
      </c>
      <c r="J40" s="34" t="s">
        <v>92</v>
      </c>
      <c r="K40" s="307"/>
      <c r="L40" s="307"/>
      <c r="M40" s="305"/>
      <c r="N40" s="305"/>
      <c r="O40" s="334"/>
      <c r="P40" s="5"/>
      <c r="Q40" s="279" t="s">
        <v>99</v>
      </c>
      <c r="R40" s="280"/>
      <c r="S40" s="280"/>
      <c r="T40" s="280"/>
      <c r="U40" s="281"/>
      <c r="V40" s="4"/>
      <c r="W40" s="4"/>
      <c r="X40" s="316"/>
      <c r="Y40" s="317"/>
      <c r="Z40" s="318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2:48" ht="21.75" customHeight="1" x14ac:dyDescent="0.3">
      <c r="B41" s="27"/>
      <c r="C41" s="36"/>
      <c r="D41" s="37"/>
      <c r="E41" s="38"/>
      <c r="F41" s="29"/>
      <c r="G41" s="29"/>
      <c r="H41" s="39"/>
      <c r="I41" s="39"/>
      <c r="J41" s="39"/>
      <c r="K41" s="230"/>
      <c r="L41" s="230"/>
      <c r="M41" s="39"/>
      <c r="N41" s="40"/>
      <c r="O41" s="41"/>
      <c r="Q41" s="282"/>
      <c r="R41" s="283"/>
      <c r="S41" s="283"/>
      <c r="T41" s="283"/>
      <c r="U41" s="28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2:48" ht="21.75" customHeight="1" x14ac:dyDescent="0.3">
      <c r="B42" s="16"/>
      <c r="C42" s="36"/>
      <c r="D42" s="37"/>
      <c r="E42" s="38"/>
      <c r="F42" s="29"/>
      <c r="G42" s="29"/>
      <c r="H42" s="39"/>
      <c r="I42" s="39"/>
      <c r="J42" s="39"/>
      <c r="K42" s="230"/>
      <c r="L42" s="230"/>
      <c r="M42" s="39"/>
      <c r="N42" s="40"/>
      <c r="O42" s="41"/>
      <c r="Q42" s="270" t="s">
        <v>100</v>
      </c>
      <c r="R42" s="271"/>
      <c r="S42" s="271"/>
      <c r="T42" s="274" t="s">
        <v>101</v>
      </c>
      <c r="U42" s="275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2:48" ht="21.75" customHeight="1" x14ac:dyDescent="0.3">
      <c r="B43" s="16"/>
      <c r="C43" s="36"/>
      <c r="D43" s="37"/>
      <c r="E43" s="38"/>
      <c r="F43" s="29"/>
      <c r="G43" s="29"/>
      <c r="H43" s="39"/>
      <c r="I43" s="39"/>
      <c r="J43" s="39"/>
      <c r="K43" s="230"/>
      <c r="L43" s="230"/>
      <c r="M43" s="39"/>
      <c r="N43" s="40"/>
      <c r="O43" s="41"/>
      <c r="Q43" s="272"/>
      <c r="R43" s="273"/>
      <c r="S43" s="273"/>
      <c r="T43" s="194" t="s">
        <v>26</v>
      </c>
      <c r="U43" s="195" t="s">
        <v>4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2:48" ht="21.75" customHeight="1" x14ac:dyDescent="0.3">
      <c r="B44" s="16"/>
      <c r="C44" s="36"/>
      <c r="D44" s="37"/>
      <c r="E44" s="38"/>
      <c r="F44" s="29"/>
      <c r="G44" s="29"/>
      <c r="H44" s="39"/>
      <c r="I44" s="39"/>
      <c r="J44" s="39"/>
      <c r="K44" s="230"/>
      <c r="L44" s="230"/>
      <c r="M44" s="39"/>
      <c r="N44" s="40"/>
      <c r="O44" s="41"/>
      <c r="Q44" s="251" t="s">
        <v>108</v>
      </c>
      <c r="R44" s="252"/>
      <c r="S44" s="252"/>
      <c r="T44" s="248" t="str">
        <f>IF(AND(U13=0,U10=0,S25&gt;14.9,S18&gt;59.9),"JA!","Nej")</f>
        <v>Nej</v>
      </c>
      <c r="U44" s="255" t="str">
        <f>IF(AND(V8=0,S25&gt;14.9),"JA!","Nej")</f>
        <v>Nej</v>
      </c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2:48" ht="21.75" customHeight="1" x14ac:dyDescent="0.3">
      <c r="B45" s="16"/>
      <c r="C45" s="36"/>
      <c r="D45" s="37"/>
      <c r="E45" s="38"/>
      <c r="F45" s="29"/>
      <c r="G45" s="29"/>
      <c r="H45" s="39"/>
      <c r="I45" s="39"/>
      <c r="J45" s="39"/>
      <c r="K45" s="230"/>
      <c r="L45" s="230"/>
      <c r="M45" s="39"/>
      <c r="N45" s="40"/>
      <c r="O45" s="41"/>
      <c r="Q45" s="253"/>
      <c r="R45" s="254"/>
      <c r="S45" s="254"/>
      <c r="T45" s="248"/>
      <c r="U45" s="256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2:48" ht="21.75" customHeight="1" x14ac:dyDescent="0.3">
      <c r="B46" s="16"/>
      <c r="C46" s="36"/>
      <c r="D46" s="37"/>
      <c r="E46" s="38"/>
      <c r="F46" s="29"/>
      <c r="G46" s="29"/>
      <c r="H46" s="39"/>
      <c r="I46" s="39"/>
      <c r="J46" s="39"/>
      <c r="K46" s="230"/>
      <c r="L46" s="230"/>
      <c r="M46" s="39"/>
      <c r="N46" s="40"/>
      <c r="O46" s="41"/>
      <c r="Q46" s="246" t="s">
        <v>102</v>
      </c>
      <c r="R46" s="247"/>
      <c r="S46" s="247"/>
      <c r="T46" s="248" t="str">
        <f>IF(AND(U13=0,U10=0,S18&gt;59.9,S25&gt;14.9),"JA!","Nej")</f>
        <v>Nej</v>
      </c>
      <c r="U46" s="257" t="str">
        <f>IF(AND(V8=0,S25&gt;14.9),"JA!","Nej")</f>
        <v>Nej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2:48" ht="21.75" customHeight="1" x14ac:dyDescent="0.3">
      <c r="B47" s="26"/>
      <c r="C47" s="128"/>
      <c r="D47" s="129"/>
      <c r="E47" s="38"/>
      <c r="F47" s="29"/>
      <c r="G47" s="129"/>
      <c r="H47" s="131"/>
      <c r="I47" s="131"/>
      <c r="J47" s="131"/>
      <c r="K47" s="231"/>
      <c r="L47" s="231"/>
      <c r="M47" s="131"/>
      <c r="N47" s="132"/>
      <c r="O47" s="41"/>
      <c r="Q47" s="246"/>
      <c r="R47" s="247"/>
      <c r="S47" s="247"/>
      <c r="T47" s="248"/>
      <c r="U47" s="257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2:48" ht="21.75" customHeight="1" x14ac:dyDescent="0.3">
      <c r="B48" s="16"/>
      <c r="C48" s="29"/>
      <c r="D48" s="38"/>
      <c r="E48" s="38"/>
      <c r="F48" s="29"/>
      <c r="G48" s="29"/>
      <c r="H48" s="39"/>
      <c r="I48" s="39"/>
      <c r="J48" s="39"/>
      <c r="K48" s="230"/>
      <c r="L48" s="230"/>
      <c r="M48" s="39"/>
      <c r="N48" s="39"/>
      <c r="O48" s="41"/>
      <c r="Q48" s="246" t="s">
        <v>103</v>
      </c>
      <c r="R48" s="247"/>
      <c r="S48" s="247"/>
      <c r="T48" s="248" t="str">
        <f>IF(AND(U13=0,U10=0,S18&gt;59.9),"JA!","Nej")</f>
        <v>Nej</v>
      </c>
      <c r="U48" s="261" t="str">
        <f>IF(V8=0,"JA!","Nej")</f>
        <v>Nej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2:48" ht="21.75" customHeight="1" x14ac:dyDescent="0.3">
      <c r="B49" s="26"/>
      <c r="C49" s="130"/>
      <c r="D49" s="130"/>
      <c r="E49" s="38"/>
      <c r="F49" s="130"/>
      <c r="G49" s="130"/>
      <c r="H49" s="130"/>
      <c r="I49" s="130"/>
      <c r="J49" s="130"/>
      <c r="K49" s="232"/>
      <c r="L49" s="232"/>
      <c r="M49" s="130"/>
      <c r="N49" s="130"/>
      <c r="O49" s="41"/>
      <c r="Q49" s="246"/>
      <c r="R49" s="247"/>
      <c r="S49" s="247"/>
      <c r="T49" s="248"/>
      <c r="U49" s="26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2:48" ht="21.75" customHeight="1" x14ac:dyDescent="0.3">
      <c r="B50" s="16"/>
      <c r="C50" s="29"/>
      <c r="D50" s="21"/>
      <c r="E50" s="38"/>
      <c r="F50" s="22"/>
      <c r="G50" s="21"/>
      <c r="H50" s="28"/>
      <c r="I50" s="28"/>
      <c r="J50" s="28"/>
      <c r="K50" s="233"/>
      <c r="L50" s="233"/>
      <c r="M50" s="28"/>
      <c r="N50" s="21"/>
      <c r="O50" s="41"/>
      <c r="Q50" s="251" t="s">
        <v>110</v>
      </c>
      <c r="R50" s="252"/>
      <c r="S50" s="263"/>
      <c r="T50" s="351" t="str">
        <f>IF(AND(V14=0,S27&gt;89.9),"JA!","Nej")</f>
        <v>Nej</v>
      </c>
      <c r="U50" s="289" t="str">
        <f>IF(AND(V8=0,S27&gt;89.9),"JA!","Nej")</f>
        <v>Nej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2:48" ht="21.75" customHeight="1" x14ac:dyDescent="0.3">
      <c r="B51" s="16"/>
      <c r="C51" s="29"/>
      <c r="D51" s="21"/>
      <c r="E51" s="38"/>
      <c r="F51" s="22"/>
      <c r="G51" s="21"/>
      <c r="H51" s="28"/>
      <c r="I51" s="28"/>
      <c r="J51" s="28"/>
      <c r="K51" s="233"/>
      <c r="L51" s="233"/>
      <c r="M51" s="28"/>
      <c r="N51" s="21"/>
      <c r="O51" s="41"/>
      <c r="Q51" s="253"/>
      <c r="R51" s="254"/>
      <c r="S51" s="264"/>
      <c r="T51" s="352"/>
      <c r="U51" s="290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2:48" ht="21.75" customHeight="1" x14ac:dyDescent="0.3">
      <c r="B52" s="16"/>
      <c r="C52" s="29"/>
      <c r="D52" s="21"/>
      <c r="E52" s="38"/>
      <c r="F52" s="22"/>
      <c r="G52" s="21"/>
      <c r="H52" s="28"/>
      <c r="I52" s="28"/>
      <c r="J52" s="28"/>
      <c r="K52" s="233"/>
      <c r="L52" s="233"/>
      <c r="M52" s="28"/>
      <c r="N52" s="21"/>
      <c r="O52" s="41"/>
      <c r="Q52" s="246" t="s">
        <v>104</v>
      </c>
      <c r="R52" s="247"/>
      <c r="S52" s="247"/>
      <c r="T52" s="258" t="str">
        <f>IF(AND(V14=0,S26&gt;29.9,S27&gt;14.9,S18&gt;59.9),"JA!","Nej")</f>
        <v>Nej</v>
      </c>
      <c r="U52" s="260" t="str">
        <f>IF(AND(V8=0,S26&gt;29.9,S27&gt;14.9),"JA!","Nej")</f>
        <v>Nej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2:48" ht="21.75" customHeight="1" x14ac:dyDescent="0.3">
      <c r="B53" s="16"/>
      <c r="C53" s="29"/>
      <c r="D53" s="29"/>
      <c r="E53" s="38"/>
      <c r="F53" s="22"/>
      <c r="G53" s="21"/>
      <c r="H53" s="29"/>
      <c r="I53" s="29"/>
      <c r="J53" s="29"/>
      <c r="K53" s="233"/>
      <c r="L53" s="233"/>
      <c r="M53" s="29"/>
      <c r="N53" s="29"/>
      <c r="O53" s="41"/>
      <c r="Q53" s="246"/>
      <c r="R53" s="247"/>
      <c r="S53" s="247"/>
      <c r="T53" s="259"/>
      <c r="U53" s="260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2:48" ht="21.75" customHeight="1" x14ac:dyDescent="0.3">
      <c r="B54" s="16"/>
      <c r="C54" s="29"/>
      <c r="D54" s="29"/>
      <c r="E54" s="38"/>
      <c r="F54" s="22"/>
      <c r="G54" s="21"/>
      <c r="H54" s="29"/>
      <c r="I54" s="29"/>
      <c r="J54" s="29"/>
      <c r="K54" s="233"/>
      <c r="L54" s="233"/>
      <c r="M54" s="29"/>
      <c r="N54" s="29"/>
      <c r="O54" s="41"/>
      <c r="Q54" s="246" t="s">
        <v>105</v>
      </c>
      <c r="R54" s="247"/>
      <c r="S54" s="247"/>
      <c r="T54" s="248" t="str">
        <f>IF(AND(U13=0,U10=0,S18&gt;59.9,N17="x",SUM(SUMIFS(K8:K36,N8:N36,"X"))+SUM(SUMIFS(L8:L36,N8:N36,"X"))&gt;14.9),"JA!","Nej")</f>
        <v>Nej</v>
      </c>
      <c r="U54" s="249" t="str">
        <f>IF(AND(V8=0,SUM(SUMIFS(K8:K43,N8:N43,"x"))+SUM(SUMIFS(L8:L43,N8:N43,"x"))&gt;14.9,N17="X"),"JA!","Nej")</f>
        <v>Nej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2:48" ht="21.75" customHeight="1" x14ac:dyDescent="0.3">
      <c r="B55" s="16"/>
      <c r="C55" s="29"/>
      <c r="D55" s="29"/>
      <c r="E55" s="38"/>
      <c r="F55" s="29"/>
      <c r="G55" s="29"/>
      <c r="H55" s="29"/>
      <c r="I55" s="29"/>
      <c r="J55" s="29"/>
      <c r="K55" s="233"/>
      <c r="L55" s="233"/>
      <c r="M55" s="29"/>
      <c r="N55" s="29"/>
      <c r="O55" s="41"/>
      <c r="Q55" s="246"/>
      <c r="R55" s="247"/>
      <c r="S55" s="247"/>
      <c r="T55" s="248"/>
      <c r="U55" s="250"/>
      <c r="V55" s="42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2:48" ht="21.75" customHeight="1" thickBot="1" x14ac:dyDescent="0.35">
      <c r="B56" s="43"/>
      <c r="C56" s="45"/>
      <c r="D56" s="45"/>
      <c r="E56" s="38"/>
      <c r="F56" s="45"/>
      <c r="G56" s="45"/>
      <c r="H56" s="45"/>
      <c r="I56" s="45"/>
      <c r="J56" s="45"/>
      <c r="K56" s="234"/>
      <c r="L56" s="234"/>
      <c r="M56" s="45"/>
      <c r="N56" s="45"/>
      <c r="O56" s="47"/>
      <c r="Q56" s="4"/>
      <c r="R56" s="4"/>
      <c r="S56" s="4"/>
      <c r="T56" s="4"/>
      <c r="U56" s="4"/>
      <c r="V56" s="42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2:48" ht="21" customHeight="1" x14ac:dyDescent="0.3">
      <c r="C57" s="4"/>
      <c r="D57" s="4"/>
      <c r="E57" s="4"/>
      <c r="F57" s="4"/>
      <c r="G57" s="4"/>
      <c r="H57" s="4"/>
      <c r="I57" s="4"/>
      <c r="J57" s="4"/>
      <c r="K57" s="222"/>
      <c r="L57" s="222"/>
      <c r="M57" s="4"/>
      <c r="N57" s="4"/>
      <c r="O57" s="4"/>
      <c r="Q57" s="4"/>
      <c r="R57" s="4"/>
      <c r="S57" s="4"/>
      <c r="T57" s="4"/>
      <c r="U57" s="4"/>
      <c r="V57" s="319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2:48" ht="21" customHeight="1" x14ac:dyDescent="0.3">
      <c r="C58" s="4"/>
      <c r="D58" s="4"/>
      <c r="E58" s="4"/>
      <c r="F58" s="4"/>
      <c r="G58" s="4"/>
      <c r="H58" s="4"/>
      <c r="I58" s="4"/>
      <c r="J58" s="4"/>
      <c r="K58" s="222"/>
      <c r="L58" s="222"/>
      <c r="M58" s="4"/>
      <c r="N58" s="4"/>
      <c r="O58" s="4"/>
      <c r="Q58" s="4"/>
      <c r="R58" s="4"/>
      <c r="S58" s="4"/>
      <c r="T58" s="4"/>
      <c r="U58" s="4"/>
      <c r="V58" s="319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2:48" ht="21" customHeight="1" x14ac:dyDescent="0.3">
      <c r="C59" s="4"/>
      <c r="D59" s="4"/>
      <c r="E59" s="4"/>
      <c r="F59" s="4"/>
      <c r="G59" s="4"/>
      <c r="H59" s="4"/>
      <c r="I59" s="4"/>
      <c r="J59" s="4"/>
      <c r="K59" s="222"/>
      <c r="L59" s="222"/>
      <c r="M59" s="4"/>
      <c r="N59" s="4"/>
      <c r="O59" s="4"/>
      <c r="Q59" s="4"/>
      <c r="R59" s="4"/>
      <c r="S59" s="4"/>
      <c r="T59" s="4"/>
      <c r="U59" s="4"/>
      <c r="V59" s="42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2:48" ht="21" customHeight="1" x14ac:dyDescent="0.3">
      <c r="C60" s="4"/>
      <c r="D60" s="4"/>
      <c r="E60" s="4"/>
      <c r="F60" s="4"/>
      <c r="G60" s="4"/>
      <c r="H60" s="4"/>
      <c r="I60" s="4"/>
      <c r="J60" s="4"/>
      <c r="K60" s="222"/>
      <c r="L60" s="222"/>
      <c r="M60" s="4"/>
      <c r="N60" s="4"/>
      <c r="O60" s="4"/>
      <c r="Q60" s="4"/>
      <c r="R60" s="4"/>
      <c r="S60" s="4"/>
      <c r="T60" s="4"/>
      <c r="U60" s="4"/>
      <c r="V60" s="42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2:48" ht="21" customHeight="1" x14ac:dyDescent="0.3">
      <c r="C61" s="4"/>
      <c r="D61" s="4"/>
      <c r="E61" s="4"/>
      <c r="F61" s="4"/>
      <c r="G61" s="4"/>
      <c r="H61" s="4"/>
      <c r="I61" s="4"/>
      <c r="J61" s="4"/>
      <c r="K61" s="222"/>
      <c r="L61" s="222"/>
      <c r="M61" s="4"/>
      <c r="N61" s="4"/>
      <c r="O61" s="4"/>
      <c r="Q61" s="4"/>
      <c r="R61" s="4"/>
      <c r="S61" s="4"/>
      <c r="T61" s="4"/>
      <c r="U61" s="4"/>
      <c r="V61" s="42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2:48" ht="21" customHeight="1" x14ac:dyDescent="0.3">
      <c r="C62" s="4"/>
      <c r="D62" s="4"/>
      <c r="E62" s="4"/>
      <c r="F62" s="4"/>
      <c r="G62" s="4"/>
      <c r="H62" s="4"/>
      <c r="I62" s="4"/>
      <c r="J62" s="4"/>
      <c r="K62" s="222"/>
      <c r="L62" s="222"/>
      <c r="M62" s="4"/>
      <c r="N62" s="4"/>
      <c r="O62" s="4"/>
      <c r="P62" s="20"/>
      <c r="Q62" s="4"/>
      <c r="R62" s="4"/>
      <c r="S62" s="4"/>
      <c r="T62" s="4"/>
      <c r="U62" s="4"/>
      <c r="V62" s="42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2:48" ht="21" customHeight="1" x14ac:dyDescent="0.3">
      <c r="C63" s="4"/>
      <c r="D63" s="4"/>
      <c r="E63" s="4"/>
      <c r="F63" s="4"/>
      <c r="G63" s="4"/>
      <c r="H63" s="4"/>
      <c r="I63" s="4"/>
      <c r="J63" s="4"/>
      <c r="K63" s="222"/>
      <c r="L63" s="222"/>
      <c r="M63" s="4"/>
      <c r="N63" s="4"/>
      <c r="O63" s="4"/>
      <c r="P63" s="20" t="s">
        <v>20</v>
      </c>
      <c r="Q63" s="4"/>
      <c r="R63" s="4"/>
      <c r="S63" s="4"/>
      <c r="T63" s="4"/>
      <c r="U63" s="4"/>
      <c r="V63" s="42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2:48" ht="17.25" customHeight="1" x14ac:dyDescent="0.3">
      <c r="C64" s="4"/>
      <c r="D64" s="4"/>
      <c r="E64" s="4"/>
      <c r="F64" s="4"/>
      <c r="G64" s="4"/>
      <c r="H64" s="4"/>
      <c r="I64" s="4"/>
      <c r="J64" s="4"/>
      <c r="K64" s="222"/>
      <c r="L64" s="222"/>
      <c r="M64" s="4"/>
      <c r="N64" s="4"/>
      <c r="O64" s="4"/>
      <c r="P64" s="20" t="s">
        <v>21</v>
      </c>
      <c r="Q64" s="4"/>
      <c r="R64" s="4"/>
      <c r="S64" s="4"/>
      <c r="T64" s="4"/>
      <c r="U64" s="4"/>
      <c r="V64" s="42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3:47" ht="17.25" customHeight="1" x14ac:dyDescent="0.3">
      <c r="C65" s="4"/>
      <c r="D65" s="4"/>
      <c r="E65" s="4"/>
      <c r="F65" s="4"/>
      <c r="G65" s="4"/>
      <c r="H65" s="4"/>
      <c r="I65" s="4"/>
      <c r="J65" s="4"/>
      <c r="K65" s="222"/>
      <c r="L65" s="222"/>
      <c r="M65" s="4"/>
      <c r="N65" s="4"/>
      <c r="O65" s="4"/>
      <c r="P65" s="20" t="s">
        <v>17</v>
      </c>
      <c r="Q65" s="4"/>
      <c r="R65" s="4"/>
      <c r="S65" s="4"/>
      <c r="T65" s="4"/>
      <c r="U65" s="4"/>
      <c r="V65" s="42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3:47" ht="17.25" customHeight="1" x14ac:dyDescent="0.3">
      <c r="C66" s="4"/>
      <c r="D66" s="4"/>
      <c r="E66" s="4"/>
      <c r="F66" s="4"/>
      <c r="G66" s="4"/>
      <c r="H66" s="4"/>
      <c r="I66" s="4"/>
      <c r="J66" s="4"/>
      <c r="K66" s="222"/>
      <c r="L66" s="222"/>
      <c r="M66" s="4"/>
      <c r="N66" s="4"/>
      <c r="O66" s="4"/>
      <c r="P66" s="20" t="s">
        <v>18</v>
      </c>
      <c r="Q66" s="4"/>
      <c r="R66" s="4"/>
      <c r="S66" s="4"/>
      <c r="T66" s="4"/>
      <c r="U66" s="4"/>
      <c r="V66" s="42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3:47" ht="17.25" customHeight="1" x14ac:dyDescent="0.3">
      <c r="C67" s="4"/>
      <c r="D67" s="4"/>
      <c r="E67" s="4"/>
      <c r="F67" s="4"/>
      <c r="G67" s="4"/>
      <c r="H67" s="4"/>
      <c r="I67" s="4"/>
      <c r="J67" s="4"/>
      <c r="K67" s="222"/>
      <c r="L67" s="222"/>
      <c r="M67" s="4"/>
      <c r="N67" s="4"/>
      <c r="O67" s="4"/>
      <c r="P67" s="20" t="s">
        <v>19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3:47" ht="17.25" customHeight="1" x14ac:dyDescent="0.3">
      <c r="C68" s="4"/>
      <c r="D68" s="4"/>
      <c r="E68" s="4"/>
      <c r="F68" s="4"/>
      <c r="G68" s="4"/>
      <c r="H68" s="4"/>
      <c r="I68" s="4"/>
      <c r="J68" s="4"/>
      <c r="K68" s="222"/>
      <c r="L68" s="222"/>
      <c r="M68" s="4"/>
      <c r="N68" s="4"/>
      <c r="O68" s="4"/>
      <c r="P68" s="20" t="s">
        <v>22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3:47" ht="17.25" customHeight="1" x14ac:dyDescent="0.3">
      <c r="C69" s="4"/>
      <c r="D69" s="4"/>
      <c r="E69" s="4"/>
      <c r="F69" s="4"/>
      <c r="G69" s="4"/>
      <c r="H69" s="4"/>
      <c r="I69" s="4"/>
      <c r="J69" s="4"/>
      <c r="K69" s="222"/>
      <c r="L69" s="222"/>
      <c r="M69" s="4"/>
      <c r="N69" s="4"/>
      <c r="O69" s="4"/>
      <c r="P69" s="20" t="s">
        <v>43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3:47" ht="17.25" customHeight="1" x14ac:dyDescent="0.3">
      <c r="C70" s="4"/>
      <c r="D70" s="4"/>
      <c r="E70" s="4"/>
      <c r="F70" s="4"/>
      <c r="G70" s="4"/>
      <c r="H70" s="4"/>
      <c r="I70" s="4"/>
      <c r="J70" s="4"/>
      <c r="K70" s="222"/>
      <c r="L70" s="222"/>
      <c r="M70" s="4"/>
      <c r="N70" s="4"/>
      <c r="O70" s="4"/>
      <c r="P70" s="20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3:47" ht="17.25" customHeight="1" x14ac:dyDescent="0.3">
      <c r="C71" s="4"/>
      <c r="D71" s="4"/>
      <c r="E71" s="4"/>
      <c r="F71" s="4"/>
      <c r="G71" s="4"/>
      <c r="H71" s="4"/>
      <c r="I71" s="4"/>
      <c r="J71" s="4"/>
      <c r="K71" s="222"/>
      <c r="L71" s="222"/>
      <c r="M71" s="4"/>
      <c r="N71" s="4"/>
      <c r="O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3:47" ht="17.25" customHeight="1" x14ac:dyDescent="0.3">
      <c r="C72" s="4"/>
      <c r="D72" s="4"/>
      <c r="E72" s="4"/>
      <c r="F72" s="4"/>
      <c r="G72" s="4"/>
      <c r="H72" s="4"/>
      <c r="I72" s="4"/>
      <c r="J72" s="4"/>
      <c r="K72" s="222"/>
      <c r="L72" s="222"/>
      <c r="M72" s="4"/>
      <c r="N72" s="4"/>
      <c r="O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3:47" ht="17.25" customHeight="1" x14ac:dyDescent="0.3">
      <c r="C73" s="4"/>
      <c r="D73" s="4"/>
      <c r="E73" s="4"/>
      <c r="F73" s="4"/>
      <c r="G73" s="4"/>
      <c r="H73" s="4"/>
      <c r="I73" s="4"/>
      <c r="J73" s="4"/>
      <c r="K73" s="222"/>
      <c r="L73" s="222"/>
      <c r="M73" s="4"/>
      <c r="N73" s="4"/>
      <c r="O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3:47" ht="21.75" customHeight="1" x14ac:dyDescent="0.3">
      <c r="C74" s="4"/>
      <c r="D74" s="4"/>
      <c r="E74" s="4"/>
      <c r="F74" s="4"/>
      <c r="G74" s="4"/>
      <c r="H74" s="4"/>
      <c r="I74" s="4"/>
      <c r="J74" s="4"/>
      <c r="K74" s="222"/>
      <c r="L74" s="222"/>
      <c r="M74" s="4"/>
      <c r="N74" s="4"/>
      <c r="O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3:47" ht="17.25" customHeight="1" x14ac:dyDescent="0.3">
      <c r="C75" s="4"/>
      <c r="D75" s="4"/>
      <c r="E75" s="4"/>
      <c r="F75" s="4"/>
      <c r="G75" s="4"/>
      <c r="H75" s="4"/>
      <c r="I75" s="4"/>
      <c r="J75" s="4"/>
      <c r="K75" s="222"/>
      <c r="L75" s="222"/>
      <c r="M75" s="4"/>
      <c r="N75" s="4"/>
      <c r="O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3:47" ht="17.25" customHeight="1" x14ac:dyDescent="0.3">
      <c r="C76" s="4"/>
      <c r="D76" s="4"/>
      <c r="E76" s="4"/>
      <c r="F76" s="4"/>
      <c r="G76" s="4"/>
      <c r="H76" s="4"/>
      <c r="I76" s="4"/>
      <c r="J76" s="4"/>
      <c r="K76" s="222"/>
      <c r="L76" s="222"/>
      <c r="M76" s="4"/>
      <c r="N76" s="4"/>
      <c r="O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3:47" ht="17.25" customHeight="1" x14ac:dyDescent="0.3">
      <c r="C77" s="4"/>
      <c r="D77" s="4"/>
      <c r="E77" s="4"/>
      <c r="F77" s="4"/>
      <c r="G77" s="4"/>
      <c r="H77" s="4"/>
      <c r="I77" s="4"/>
      <c r="J77" s="4"/>
      <c r="K77" s="222"/>
      <c r="L77" s="222"/>
      <c r="M77" s="4"/>
      <c r="N77" s="4"/>
      <c r="O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3:47" ht="17.25" customHeight="1" x14ac:dyDescent="0.3">
      <c r="C78" s="4"/>
      <c r="D78" s="4"/>
      <c r="E78" s="4"/>
      <c r="F78" s="4"/>
      <c r="G78" s="4"/>
      <c r="H78" s="4"/>
      <c r="I78" s="4"/>
      <c r="J78" s="4"/>
      <c r="K78" s="222"/>
      <c r="L78" s="222"/>
      <c r="M78" s="4"/>
      <c r="N78" s="4"/>
      <c r="O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3:47" ht="17.25" customHeight="1" x14ac:dyDescent="0.3">
      <c r="C79" s="4"/>
      <c r="D79" s="4"/>
      <c r="E79" s="4"/>
      <c r="F79" s="4"/>
      <c r="G79" s="4"/>
      <c r="H79" s="4"/>
      <c r="I79" s="4"/>
      <c r="J79" s="4"/>
      <c r="K79" s="222"/>
      <c r="L79" s="222"/>
      <c r="M79" s="4"/>
      <c r="N79" s="4"/>
      <c r="O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3:47" ht="17.25" customHeight="1" x14ac:dyDescent="0.3">
      <c r="C80" s="4"/>
      <c r="D80" s="4"/>
      <c r="E80" s="4"/>
      <c r="F80" s="4"/>
      <c r="G80" s="4"/>
      <c r="H80" s="4"/>
      <c r="I80" s="4"/>
      <c r="J80" s="4"/>
      <c r="K80" s="222"/>
      <c r="L80" s="222"/>
      <c r="M80" s="4"/>
      <c r="N80" s="4"/>
      <c r="O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3:47" ht="17.25" customHeight="1" x14ac:dyDescent="0.3">
      <c r="C81" s="4"/>
      <c r="D81" s="4"/>
      <c r="E81" s="4"/>
      <c r="F81" s="4"/>
      <c r="G81" s="4"/>
      <c r="H81" s="4"/>
      <c r="I81" s="4"/>
      <c r="J81" s="4"/>
      <c r="K81" s="222"/>
      <c r="L81" s="222"/>
      <c r="M81" s="4"/>
      <c r="N81" s="4"/>
      <c r="O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3:47" ht="17.25" customHeight="1" x14ac:dyDescent="0.3">
      <c r="C82" s="4"/>
      <c r="D82" s="4"/>
      <c r="E82" s="4"/>
      <c r="F82" s="4"/>
      <c r="G82" s="4"/>
      <c r="H82" s="4"/>
      <c r="I82" s="4"/>
      <c r="J82" s="4"/>
      <c r="K82" s="222"/>
      <c r="L82" s="222"/>
      <c r="M82" s="4"/>
      <c r="N82" s="4"/>
      <c r="O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3:47" ht="17.25" customHeight="1" x14ac:dyDescent="0.3">
      <c r="C83" s="4"/>
      <c r="D83" s="4"/>
      <c r="E83" s="4"/>
      <c r="F83" s="4"/>
      <c r="G83" s="4"/>
      <c r="H83" s="4"/>
      <c r="I83" s="4"/>
      <c r="J83" s="4"/>
      <c r="K83" s="222"/>
      <c r="L83" s="222"/>
      <c r="M83" s="4"/>
      <c r="N83" s="4"/>
      <c r="O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3:47" ht="17.25" customHeight="1" x14ac:dyDescent="0.3">
      <c r="C84" s="4"/>
      <c r="D84" s="4"/>
      <c r="E84" s="4"/>
      <c r="F84" s="4"/>
      <c r="G84" s="4"/>
      <c r="H84" s="4"/>
      <c r="I84" s="4"/>
      <c r="J84" s="4"/>
      <c r="K84" s="222"/>
      <c r="L84" s="222"/>
      <c r="M84" s="4"/>
      <c r="N84" s="4"/>
      <c r="O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3:47" ht="17.25" customHeight="1" x14ac:dyDescent="0.3">
      <c r="C85" s="4"/>
      <c r="D85" s="4"/>
      <c r="E85" s="4"/>
      <c r="F85" s="4"/>
      <c r="G85" s="4"/>
      <c r="H85" s="4"/>
      <c r="I85" s="4"/>
      <c r="J85" s="4"/>
      <c r="K85" s="222"/>
      <c r="L85" s="222"/>
      <c r="M85" s="4"/>
      <c r="N85" s="4"/>
      <c r="O85" s="4"/>
      <c r="Q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3:47" ht="17.25" customHeight="1" x14ac:dyDescent="0.3">
      <c r="C86" s="4"/>
      <c r="D86" s="4"/>
      <c r="E86" s="4"/>
      <c r="F86" s="4"/>
      <c r="G86" s="4"/>
      <c r="H86" s="4"/>
      <c r="I86" s="4"/>
      <c r="J86" s="4"/>
      <c r="K86" s="222"/>
      <c r="L86" s="222"/>
      <c r="M86" s="4"/>
      <c r="N86" s="4"/>
      <c r="O86" s="4"/>
      <c r="Q86" s="4"/>
      <c r="V86" s="4"/>
      <c r="W86" s="4"/>
      <c r="X86" s="4"/>
      <c r="Y86" s="4"/>
      <c r="Z86" s="4"/>
      <c r="AA86" s="4"/>
      <c r="AB86" s="4"/>
      <c r="AC86" s="4"/>
    </row>
    <row r="87" spans="3:47" ht="17.25" customHeight="1" x14ac:dyDescent="0.3">
      <c r="C87" s="4"/>
      <c r="D87" s="4"/>
      <c r="E87" s="4"/>
      <c r="F87" s="4"/>
      <c r="G87" s="4"/>
      <c r="H87" s="4"/>
      <c r="I87" s="4"/>
      <c r="J87" s="4"/>
      <c r="K87" s="222"/>
      <c r="L87" s="222"/>
      <c r="M87" s="4"/>
      <c r="N87" s="4"/>
      <c r="O87" s="4"/>
      <c r="Q87" s="4"/>
      <c r="V87" s="4"/>
      <c r="W87" s="4"/>
      <c r="X87" s="4"/>
      <c r="Y87" s="4"/>
      <c r="Z87" s="4"/>
      <c r="AA87" s="4"/>
      <c r="AB87" s="4"/>
      <c r="AC87" s="4"/>
    </row>
    <row r="88" spans="3:47" ht="17.25" customHeight="1" x14ac:dyDescent="0.3">
      <c r="C88" s="4"/>
      <c r="D88" s="4"/>
      <c r="E88" s="4"/>
      <c r="F88" s="4"/>
      <c r="G88" s="4"/>
      <c r="H88" s="4"/>
      <c r="I88" s="4"/>
      <c r="J88" s="4"/>
      <c r="K88" s="222"/>
      <c r="L88" s="222"/>
      <c r="M88" s="4"/>
      <c r="N88" s="4"/>
      <c r="O88" s="4"/>
      <c r="Q88" s="4"/>
      <c r="V88" s="4"/>
      <c r="W88" s="4"/>
      <c r="X88" s="4"/>
      <c r="Y88" s="4"/>
      <c r="Z88" s="4"/>
      <c r="AA88" s="4"/>
      <c r="AB88" s="4"/>
      <c r="AC88" s="4"/>
    </row>
    <row r="89" spans="3:47" ht="17.25" customHeight="1" x14ac:dyDescent="0.3">
      <c r="C89" s="4"/>
      <c r="D89" s="4"/>
      <c r="E89" s="4"/>
      <c r="F89" s="4"/>
      <c r="G89" s="4"/>
      <c r="H89" s="4"/>
      <c r="I89" s="4"/>
      <c r="J89" s="4"/>
      <c r="K89" s="222"/>
      <c r="L89" s="222"/>
      <c r="M89" s="4"/>
      <c r="N89" s="4"/>
      <c r="O89" s="4"/>
      <c r="Q89" s="4"/>
      <c r="V89" s="4"/>
      <c r="W89" s="4"/>
      <c r="X89" s="4"/>
      <c r="Y89" s="4"/>
      <c r="Z89" s="4"/>
      <c r="AA89" s="4"/>
      <c r="AB89" s="4"/>
      <c r="AC89" s="4"/>
    </row>
    <row r="90" spans="3:47" ht="17.25" customHeight="1" x14ac:dyDescent="0.3">
      <c r="C90" s="4"/>
      <c r="D90" s="4"/>
      <c r="E90" s="4"/>
      <c r="F90" s="4"/>
      <c r="G90" s="4"/>
      <c r="H90" s="4"/>
      <c r="I90" s="4"/>
      <c r="J90" s="4"/>
      <c r="K90" s="222"/>
      <c r="L90" s="222"/>
      <c r="M90" s="4"/>
      <c r="N90" s="4"/>
      <c r="O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3:47" ht="17.25" customHeight="1" x14ac:dyDescent="0.3">
      <c r="C91" s="4"/>
      <c r="D91" s="4"/>
      <c r="E91" s="4"/>
      <c r="F91" s="4"/>
      <c r="G91" s="4"/>
      <c r="H91" s="4"/>
      <c r="I91" s="4"/>
      <c r="J91" s="4"/>
      <c r="K91" s="222"/>
      <c r="L91" s="222"/>
      <c r="M91" s="4"/>
      <c r="N91" s="4"/>
      <c r="O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3:47" ht="17.25" customHeight="1" x14ac:dyDescent="0.3">
      <c r="C92" s="4"/>
      <c r="D92" s="4"/>
      <c r="E92" s="4"/>
      <c r="F92" s="4"/>
      <c r="G92" s="4"/>
      <c r="H92" s="4"/>
      <c r="I92" s="4"/>
      <c r="J92" s="4"/>
      <c r="K92" s="222"/>
      <c r="L92" s="222"/>
      <c r="M92" s="4"/>
      <c r="N92" s="4"/>
      <c r="O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3:47" ht="17.25" customHeight="1" x14ac:dyDescent="0.3">
      <c r="C93" s="4"/>
      <c r="D93" s="4"/>
      <c r="E93" s="4"/>
      <c r="F93" s="4"/>
      <c r="G93" s="4"/>
      <c r="H93" s="4"/>
      <c r="I93" s="4"/>
      <c r="J93" s="4"/>
      <c r="K93" s="222"/>
      <c r="L93" s="222"/>
      <c r="M93" s="4"/>
      <c r="N93" s="4"/>
      <c r="O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3:47" ht="17.25" customHeight="1" x14ac:dyDescent="0.3">
      <c r="C94" s="4"/>
      <c r="D94" s="4"/>
      <c r="E94" s="4"/>
      <c r="F94" s="4"/>
      <c r="G94" s="4"/>
      <c r="H94" s="4"/>
      <c r="I94" s="4"/>
      <c r="J94" s="4"/>
      <c r="K94" s="222"/>
      <c r="L94" s="222"/>
      <c r="M94" s="4"/>
      <c r="N94" s="4"/>
      <c r="O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3:47" ht="17.25" customHeight="1" x14ac:dyDescent="0.3">
      <c r="C95" s="4"/>
      <c r="D95" s="4"/>
      <c r="E95" s="4"/>
      <c r="F95" s="4"/>
      <c r="G95" s="4"/>
      <c r="H95" s="4"/>
      <c r="I95" s="4"/>
      <c r="J95" s="4"/>
      <c r="K95" s="222"/>
      <c r="L95" s="222"/>
      <c r="M95" s="4"/>
      <c r="N95" s="4"/>
      <c r="O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3:47" ht="17.25" customHeight="1" x14ac:dyDescent="0.3">
      <c r="C96" s="4"/>
      <c r="D96" s="4"/>
      <c r="E96" s="4"/>
      <c r="F96" s="4"/>
      <c r="G96" s="4"/>
      <c r="H96" s="4"/>
      <c r="I96" s="4"/>
      <c r="J96" s="4"/>
      <c r="K96" s="222"/>
      <c r="L96" s="222"/>
      <c r="M96" s="4"/>
      <c r="N96" s="4"/>
      <c r="O96" s="4"/>
      <c r="Q96" s="4"/>
      <c r="V96" s="4"/>
      <c r="W96" s="4"/>
      <c r="X96" s="4"/>
      <c r="Y96" s="4"/>
      <c r="Z96" s="4"/>
      <c r="AA96" s="4"/>
      <c r="AB96" s="4"/>
      <c r="AC96" s="4"/>
    </row>
    <row r="97" spans="3:17" ht="17.25" customHeight="1" x14ac:dyDescent="0.3">
      <c r="C97" s="4"/>
      <c r="D97" s="4"/>
      <c r="E97" s="4"/>
      <c r="F97" s="4"/>
      <c r="G97" s="4"/>
      <c r="H97" s="4"/>
      <c r="I97" s="4"/>
      <c r="J97" s="4"/>
      <c r="K97" s="222"/>
      <c r="L97" s="222"/>
      <c r="M97" s="4"/>
      <c r="N97" s="4"/>
      <c r="O97" s="4"/>
      <c r="Q97" s="4"/>
    </row>
    <row r="98" spans="3:17" ht="17.25" customHeight="1" x14ac:dyDescent="0.3">
      <c r="C98" s="4"/>
      <c r="D98" s="4"/>
      <c r="E98" s="4"/>
      <c r="F98" s="4"/>
      <c r="G98" s="4"/>
      <c r="H98" s="4"/>
      <c r="I98" s="4"/>
      <c r="J98" s="4"/>
      <c r="K98" s="222"/>
      <c r="L98" s="222"/>
      <c r="M98" s="4"/>
      <c r="N98" s="4"/>
      <c r="O98" s="4"/>
      <c r="Q98" s="4"/>
    </row>
    <row r="99" spans="3:17" ht="17.25" customHeight="1" x14ac:dyDescent="0.3">
      <c r="C99" s="4"/>
      <c r="D99" s="4"/>
      <c r="E99" s="4"/>
      <c r="F99" s="4"/>
      <c r="G99" s="4"/>
      <c r="H99" s="4"/>
      <c r="I99" s="4"/>
      <c r="J99" s="4"/>
      <c r="K99" s="222"/>
      <c r="L99" s="222"/>
      <c r="M99" s="4"/>
      <c r="N99" s="4"/>
      <c r="O99" s="4"/>
      <c r="Q99" s="4"/>
    </row>
    <row r="100" spans="3:17" ht="17.25" customHeight="1" x14ac:dyDescent="0.3">
      <c r="C100" s="4"/>
      <c r="D100" s="4"/>
      <c r="E100" s="4"/>
      <c r="F100" s="4"/>
      <c r="G100" s="4"/>
      <c r="H100" s="4"/>
      <c r="I100" s="4"/>
      <c r="J100" s="4"/>
      <c r="K100" s="222"/>
      <c r="L100" s="222"/>
      <c r="M100" s="4"/>
      <c r="N100" s="4"/>
      <c r="O100" s="4"/>
    </row>
    <row r="101" spans="3:17" ht="17.25" customHeight="1" x14ac:dyDescent="0.3">
      <c r="C101" s="4"/>
      <c r="D101" s="4"/>
      <c r="E101" s="4"/>
      <c r="F101" s="4"/>
      <c r="G101" s="4"/>
      <c r="H101" s="4"/>
      <c r="I101" s="4"/>
      <c r="J101" s="4"/>
      <c r="K101" s="222"/>
      <c r="L101" s="222"/>
      <c r="M101" s="4"/>
      <c r="N101" s="4"/>
      <c r="O101" s="4"/>
    </row>
    <row r="102" spans="3:17" ht="17.25" customHeight="1" x14ac:dyDescent="0.3">
      <c r="C102" s="4"/>
      <c r="D102" s="4"/>
      <c r="E102" s="4"/>
      <c r="F102" s="4"/>
      <c r="G102" s="4"/>
      <c r="H102" s="4"/>
      <c r="I102" s="4"/>
      <c r="J102" s="4"/>
      <c r="K102" s="222"/>
      <c r="L102" s="222"/>
      <c r="M102" s="4"/>
      <c r="N102" s="4"/>
      <c r="O102" s="4"/>
    </row>
    <row r="103" spans="3:17" ht="17.25" customHeight="1" x14ac:dyDescent="0.3">
      <c r="C103" s="4"/>
      <c r="D103" s="4"/>
      <c r="E103" s="4"/>
      <c r="F103" s="4"/>
      <c r="G103" s="4"/>
      <c r="H103" s="4"/>
      <c r="I103" s="4"/>
      <c r="J103" s="4"/>
      <c r="K103" s="222"/>
      <c r="L103" s="222"/>
      <c r="M103" s="4"/>
      <c r="N103" s="4"/>
      <c r="O103" s="4"/>
    </row>
    <row r="104" spans="3:17" ht="17.25" customHeight="1" x14ac:dyDescent="0.3">
      <c r="C104" s="4"/>
      <c r="D104" s="4"/>
      <c r="E104" s="4"/>
      <c r="F104" s="4"/>
      <c r="G104" s="4"/>
      <c r="H104" s="4"/>
      <c r="I104" s="4"/>
      <c r="J104" s="4"/>
      <c r="K104" s="222"/>
      <c r="L104" s="222"/>
      <c r="M104" s="4"/>
      <c r="N104" s="4"/>
      <c r="O104" s="4"/>
    </row>
    <row r="105" spans="3:17" ht="17.25" customHeight="1" x14ac:dyDescent="0.3">
      <c r="C105" s="4"/>
      <c r="D105" s="4"/>
      <c r="E105" s="4"/>
      <c r="F105" s="4"/>
      <c r="G105" s="4"/>
      <c r="H105" s="4"/>
      <c r="I105" s="4"/>
      <c r="J105" s="4"/>
      <c r="K105" s="222"/>
      <c r="L105" s="222"/>
      <c r="M105" s="4"/>
      <c r="N105" s="4"/>
      <c r="O105" s="4"/>
    </row>
    <row r="106" spans="3:17" ht="17.25" customHeight="1" x14ac:dyDescent="0.3">
      <c r="C106" s="4"/>
      <c r="D106" s="4"/>
      <c r="E106" s="4"/>
      <c r="F106" s="4"/>
      <c r="G106" s="4"/>
      <c r="H106" s="4"/>
      <c r="I106" s="4"/>
      <c r="J106" s="4"/>
      <c r="K106" s="222"/>
      <c r="L106" s="222"/>
      <c r="M106" s="4"/>
      <c r="N106" s="4"/>
      <c r="O106" s="4"/>
    </row>
    <row r="107" spans="3:17" ht="17.25" customHeight="1" x14ac:dyDescent="0.3">
      <c r="C107" s="4"/>
      <c r="D107" s="4"/>
      <c r="E107" s="4"/>
      <c r="F107" s="4"/>
      <c r="G107" s="4"/>
      <c r="H107" s="4"/>
      <c r="I107" s="4"/>
      <c r="J107" s="4"/>
      <c r="K107" s="222"/>
      <c r="L107" s="222"/>
      <c r="M107" s="4"/>
      <c r="N107" s="4"/>
      <c r="O107" s="4"/>
    </row>
    <row r="108" spans="3:17" ht="17.25" customHeight="1" x14ac:dyDescent="0.3">
      <c r="C108" s="4"/>
      <c r="D108" s="4"/>
      <c r="E108" s="4"/>
      <c r="F108" s="4"/>
      <c r="G108" s="4"/>
      <c r="H108" s="4"/>
      <c r="I108" s="4"/>
      <c r="J108" s="4"/>
      <c r="K108" s="222"/>
      <c r="L108" s="222"/>
      <c r="M108" s="4"/>
      <c r="N108" s="4"/>
      <c r="O108" s="4"/>
    </row>
    <row r="109" spans="3:17" ht="17.25" customHeight="1" x14ac:dyDescent="0.3">
      <c r="C109" s="4"/>
      <c r="D109" s="4"/>
      <c r="E109" s="4"/>
      <c r="F109" s="4"/>
      <c r="G109" s="4"/>
      <c r="H109" s="4"/>
      <c r="I109" s="4"/>
      <c r="J109" s="4"/>
      <c r="K109" s="222"/>
      <c r="L109" s="222"/>
      <c r="M109" s="4"/>
      <c r="N109" s="4"/>
      <c r="O109" s="4"/>
    </row>
    <row r="110" spans="3:17" ht="17.25" customHeight="1" x14ac:dyDescent="0.3">
      <c r="C110" s="4"/>
      <c r="D110" s="4"/>
      <c r="E110" s="4"/>
      <c r="F110" s="4"/>
      <c r="G110" s="4"/>
      <c r="H110" s="4"/>
      <c r="I110" s="4"/>
      <c r="J110" s="4"/>
      <c r="K110" s="222"/>
      <c r="L110" s="222"/>
      <c r="M110" s="4"/>
      <c r="N110" s="4"/>
      <c r="O110" s="4"/>
    </row>
    <row r="111" spans="3:17" ht="17.25" customHeight="1" x14ac:dyDescent="0.3">
      <c r="C111" s="4"/>
      <c r="D111" s="4"/>
      <c r="E111" s="4"/>
      <c r="F111" s="4"/>
      <c r="G111" s="4"/>
      <c r="H111" s="4"/>
      <c r="I111" s="4"/>
      <c r="J111" s="4"/>
      <c r="K111" s="222"/>
      <c r="L111" s="222"/>
      <c r="M111" s="4"/>
      <c r="N111" s="4"/>
      <c r="O111" s="4"/>
    </row>
  </sheetData>
  <sheetProtection sheet="1" objects="1" scenarios="1" formatCells="0"/>
  <mergeCells count="52">
    <mergeCell ref="B1:O1"/>
    <mergeCell ref="X34:Z40"/>
    <mergeCell ref="V57:V58"/>
    <mergeCell ref="B37:O38"/>
    <mergeCell ref="Q28:T28"/>
    <mergeCell ref="U28:U29"/>
    <mergeCell ref="F39:F40"/>
    <mergeCell ref="G39:G40"/>
    <mergeCell ref="H39:J39"/>
    <mergeCell ref="M39:M40"/>
    <mergeCell ref="O39:O40"/>
    <mergeCell ref="N39:N40"/>
    <mergeCell ref="Z19:AA26"/>
    <mergeCell ref="B2:O4"/>
    <mergeCell ref="X3:Z11"/>
    <mergeCell ref="T50:T51"/>
    <mergeCell ref="U50:U51"/>
    <mergeCell ref="F5:F6"/>
    <mergeCell ref="G5:G6"/>
    <mergeCell ref="M5:M6"/>
    <mergeCell ref="N5:N6"/>
    <mergeCell ref="H5:J5"/>
    <mergeCell ref="Q15:U15"/>
    <mergeCell ref="K5:K6"/>
    <mergeCell ref="L5:L6"/>
    <mergeCell ref="K39:K40"/>
    <mergeCell ref="L39:L40"/>
    <mergeCell ref="Q2:U2"/>
    <mergeCell ref="Q3:T3"/>
    <mergeCell ref="Q42:S43"/>
    <mergeCell ref="T42:U42"/>
    <mergeCell ref="O5:O6"/>
    <mergeCell ref="U3:U4"/>
    <mergeCell ref="Q40:U41"/>
    <mergeCell ref="Q16:T16"/>
    <mergeCell ref="U16:U17"/>
    <mergeCell ref="Q54:S55"/>
    <mergeCell ref="T54:T55"/>
    <mergeCell ref="U54:U55"/>
    <mergeCell ref="Q44:S45"/>
    <mergeCell ref="T44:T45"/>
    <mergeCell ref="U44:U45"/>
    <mergeCell ref="Q46:S47"/>
    <mergeCell ref="T46:T47"/>
    <mergeCell ref="U46:U47"/>
    <mergeCell ref="Q52:S53"/>
    <mergeCell ref="T52:T53"/>
    <mergeCell ref="U52:U53"/>
    <mergeCell ref="Q48:S49"/>
    <mergeCell ref="T48:T49"/>
    <mergeCell ref="U48:U49"/>
    <mergeCell ref="Q50:S51"/>
  </mergeCells>
  <conditionalFormatting sqref="T30">
    <cfRule type="cellIs" dxfId="12" priority="16" operator="lessThan">
      <formula>30</formula>
    </cfRule>
  </conditionalFormatting>
  <conditionalFormatting sqref="T31">
    <cfRule type="cellIs" dxfId="11" priority="15" operator="lessThan">
      <formula>15</formula>
    </cfRule>
  </conditionalFormatting>
  <conditionalFormatting sqref="T32">
    <cfRule type="cellIs" dxfId="10" priority="14" operator="lessThan">
      <formula>30</formula>
    </cfRule>
  </conditionalFormatting>
  <conditionalFormatting sqref="T34">
    <cfRule type="cellIs" dxfId="9" priority="12" operator="lessThan">
      <formula>15</formula>
    </cfRule>
  </conditionalFormatting>
  <conditionalFormatting sqref="T38">
    <cfRule type="cellIs" dxfId="8" priority="13" operator="lessThan">
      <formula>15</formula>
    </cfRule>
  </conditionalFormatting>
  <conditionalFormatting sqref="T44:U44 T46:U46 T48:U48 T52:U52 T54:U54">
    <cfRule type="containsText" dxfId="7" priority="2" operator="containsText" text="JA!">
      <formula>NOT(ISERROR(SEARCH("JA!",T44)))</formula>
    </cfRule>
  </conditionalFormatting>
  <conditionalFormatting sqref="U5:U8">
    <cfRule type="cellIs" dxfId="6" priority="10" operator="greaterThan">
      <formula>0</formula>
    </cfRule>
  </conditionalFormatting>
  <conditionalFormatting sqref="U10:U13">
    <cfRule type="cellIs" dxfId="5" priority="9" operator="greaterThan">
      <formula>0</formula>
    </cfRule>
  </conditionalFormatting>
  <conditionalFormatting sqref="U18:U27">
    <cfRule type="cellIs" dxfId="4" priority="8" operator="greaterThan">
      <formula>0</formula>
    </cfRule>
  </conditionalFormatting>
  <conditionalFormatting sqref="U30:U32 U34:U39">
    <cfRule type="cellIs" dxfId="3" priority="7" operator="greaterThan">
      <formula>0</formula>
    </cfRule>
  </conditionalFormatting>
  <conditionalFormatting sqref="V55:V56 V59:V61 V66">
    <cfRule type="cellIs" dxfId="2" priority="11" operator="greaterThan">
      <formula>0</formula>
    </cfRule>
  </conditionalFormatting>
  <dataValidations count="3">
    <dataValidation type="list" allowBlank="1" showInputMessage="1" showErrorMessage="1" sqref="O20 O12 G47" xr:uid="{00000000-0002-0000-0100-000000000000}">
      <formula1>#REF!</formula1>
    </dataValidation>
    <dataValidation type="list" allowBlank="1" showInputMessage="1" showErrorMessage="1" sqref="O41:O56 O21:O25 O27:O36 O8:O11 O13:O19" xr:uid="{00000000-0002-0000-0100-000001000000}">
      <formula1>F8:G8</formula1>
    </dataValidation>
    <dataValidation type="list" allowBlank="1" showInputMessage="1" showErrorMessage="1" sqref="E8:E25 E27:E36" xr:uid="{00000000-0002-0000-0100-000002000000}">
      <formula1>$P$63:$P$69</formula1>
    </dataValidation>
  </dataValidations>
  <pageMargins left="0.7" right="0.7" top="0.75" bottom="0.75" header="0.3" footer="0.3"/>
  <pageSetup paperSize="9" orientation="portrait" r:id="rId1"/>
  <ignoredErrors>
    <ignoredError sqref="W1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'JM-kraven'!$A$1:$A$16</xm:f>
          </x14:formula1>
          <xm:sqref>F41:G46 F48:G48 F47</xm:sqref>
        </x14:dataValidation>
        <x14:dataValidation type="list" allowBlank="1" showInputMessage="1" showErrorMessage="1" xr:uid="{00000000-0002-0000-0100-000004000000}">
          <x14:formula1>
            <xm:f>'JM-kraven'!$A$2:$A$16</xm:f>
          </x14:formula1>
          <xm:sqref>F50:G54 F27:G36 F8:G13 F14:F25 G15:G25</xm:sqref>
        </x14:dataValidation>
        <x14:dataValidation type="list" allowBlank="1" showInputMessage="1" showErrorMessage="1" xr:uid="{00000000-0002-0000-0100-000005000000}">
          <x14:formula1>
            <xm:f>'JM-kraven'!$F$2:$F$5</xm:f>
          </x14:formula1>
          <xm:sqref>D21:D25 D8:D11 D13:D19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BJ103"/>
  <sheetViews>
    <sheetView zoomScaleNormal="100" workbookViewId="0">
      <selection activeCell="F8" sqref="F8"/>
    </sheetView>
  </sheetViews>
  <sheetFormatPr defaultColWidth="9.109375" defaultRowHeight="17.25" customHeight="1" x14ac:dyDescent="0.3"/>
  <cols>
    <col min="1" max="1" width="1.44140625" style="4" customWidth="1"/>
    <col min="2" max="2" width="9.109375" style="5"/>
    <col min="3" max="3" width="35.109375" style="5" customWidth="1"/>
    <col min="4" max="5" width="9.109375" style="5"/>
    <col min="6" max="6" width="26.44140625" style="5" customWidth="1"/>
    <col min="7" max="7" width="27" style="5" customWidth="1"/>
    <col min="8" max="8" width="15.109375" style="5" customWidth="1"/>
    <col min="9" max="9" width="16.6640625" style="5" customWidth="1"/>
    <col min="10" max="10" width="15.109375" style="5" customWidth="1"/>
    <col min="11" max="11" width="14.33203125" style="5" customWidth="1"/>
    <col min="12" max="12" width="26.109375" style="5" customWidth="1"/>
    <col min="13" max="13" width="3.33203125" style="4" customWidth="1"/>
    <col min="14" max="14" width="28.44140625" style="5" customWidth="1"/>
    <col min="15" max="15" width="16" style="5" customWidth="1"/>
    <col min="16" max="16" width="14.6640625" style="5" customWidth="1"/>
    <col min="17" max="17" width="9.109375" style="5"/>
    <col min="18" max="18" width="16.5546875" style="5" customWidth="1"/>
    <col min="19" max="19" width="9.109375" style="4" customWidth="1"/>
    <col min="20" max="20" width="9.109375" style="4"/>
    <col min="21" max="21" width="6.109375" style="4" customWidth="1"/>
    <col min="22" max="16384" width="9.109375" style="5"/>
  </cols>
  <sheetData>
    <row r="1" spans="2:62" ht="21.75" customHeight="1" x14ac:dyDescent="0.3">
      <c r="B1" s="364" t="s">
        <v>93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N1" s="4"/>
      <c r="O1" s="4"/>
      <c r="P1" s="4"/>
      <c r="Q1" s="4"/>
      <c r="R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2:62" ht="31.5" customHeight="1" thickBot="1" x14ac:dyDescent="0.35"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N2" s="4"/>
      <c r="O2" s="4"/>
      <c r="P2" s="4"/>
      <c r="Q2" s="4"/>
      <c r="R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2:62" ht="44.25" customHeight="1" x14ac:dyDescent="0.4">
      <c r="B3" s="336" t="s">
        <v>73</v>
      </c>
      <c r="C3" s="337"/>
      <c r="D3" s="337"/>
      <c r="E3" s="337"/>
      <c r="F3" s="337"/>
      <c r="G3" s="337"/>
      <c r="H3" s="337"/>
      <c r="I3" s="337"/>
      <c r="J3" s="337"/>
      <c r="K3" s="337"/>
      <c r="L3" s="338"/>
      <c r="N3" s="365" t="s">
        <v>57</v>
      </c>
      <c r="O3" s="366"/>
      <c r="P3" s="366"/>
      <c r="Q3" s="366"/>
      <c r="R3" s="36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2:62" ht="21" customHeight="1" thickBot="1" x14ac:dyDescent="0.45">
      <c r="B4" s="374"/>
      <c r="C4" s="375"/>
      <c r="D4" s="375"/>
      <c r="E4" s="375"/>
      <c r="F4" s="375"/>
      <c r="G4" s="375"/>
      <c r="H4" s="375"/>
      <c r="I4" s="375"/>
      <c r="J4" s="375"/>
      <c r="K4" s="375"/>
      <c r="L4" s="376"/>
      <c r="N4" s="372" t="s">
        <v>54</v>
      </c>
      <c r="O4" s="373"/>
      <c r="P4" s="373"/>
      <c r="Q4" s="373"/>
      <c r="R4" s="278" t="s">
        <v>53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2:62" ht="25.5" customHeight="1" x14ac:dyDescent="0.35">
      <c r="B5" s="379" t="s">
        <v>44</v>
      </c>
      <c r="C5" s="362"/>
      <c r="D5" s="362"/>
      <c r="E5" s="362"/>
      <c r="F5" s="362"/>
      <c r="G5" s="363"/>
      <c r="H5" s="378" t="s">
        <v>50</v>
      </c>
      <c r="I5" s="378"/>
      <c r="J5" s="378"/>
      <c r="K5" s="377" t="s">
        <v>122</v>
      </c>
      <c r="L5" s="380" t="s">
        <v>16</v>
      </c>
      <c r="N5" s="62" t="s">
        <v>38</v>
      </c>
      <c r="O5" s="63"/>
      <c r="P5" s="64" t="s">
        <v>1</v>
      </c>
      <c r="Q5" s="64" t="s">
        <v>14</v>
      </c>
      <c r="R5" s="278"/>
      <c r="S5" s="7"/>
      <c r="T5" s="7"/>
      <c r="U5" s="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2:62" ht="36" customHeight="1" x14ac:dyDescent="0.3">
      <c r="B6" s="379"/>
      <c r="C6" s="144" t="s">
        <v>98</v>
      </c>
      <c r="D6" s="144" t="s">
        <v>3</v>
      </c>
      <c r="E6" s="144" t="s">
        <v>15</v>
      </c>
      <c r="F6" s="145" t="s">
        <v>36</v>
      </c>
      <c r="G6" s="146" t="s">
        <v>37</v>
      </c>
      <c r="H6" s="147" t="s">
        <v>49</v>
      </c>
      <c r="I6" s="148" t="s">
        <v>6</v>
      </c>
      <c r="J6" s="148" t="s">
        <v>92</v>
      </c>
      <c r="K6" s="378"/>
      <c r="L6" s="381"/>
      <c r="N6" s="158" t="s">
        <v>8</v>
      </c>
      <c r="O6" s="159"/>
      <c r="P6" s="67">
        <f>SUMIFS(D7:D48,L7:L48,"Skogsbruksvetenskap")</f>
        <v>0</v>
      </c>
      <c r="Q6" s="67">
        <v>135</v>
      </c>
      <c r="R6" s="68">
        <f>IF((Q6-P6)&lt;0,0,SUM(Q6-P6))</f>
        <v>135</v>
      </c>
      <c r="S6" s="7"/>
      <c r="T6" s="185">
        <f>IF(R6&lt;=0,Q6,P6)</f>
        <v>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2:62" ht="21" customHeight="1" x14ac:dyDescent="0.3">
      <c r="B7" s="149"/>
      <c r="C7" s="150"/>
      <c r="D7" s="38"/>
      <c r="E7" s="38"/>
      <c r="F7" s="151"/>
      <c r="G7" s="38"/>
      <c r="H7" s="38"/>
      <c r="I7" s="38"/>
      <c r="J7" s="38"/>
      <c r="K7" s="38"/>
      <c r="L7" s="152"/>
      <c r="M7" s="19"/>
      <c r="N7" s="69" t="s">
        <v>9</v>
      </c>
      <c r="O7" s="66"/>
      <c r="P7" s="70">
        <f>SUM(H7:H48)</f>
        <v>0</v>
      </c>
      <c r="Q7" s="70">
        <v>15</v>
      </c>
      <c r="R7" s="68">
        <f t="shared" ref="R7:R15" si="0">IF((Q7-P7)&lt;0,0,SUM(Q7-P7))</f>
        <v>15</v>
      </c>
      <c r="S7" s="19"/>
      <c r="T7" s="20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2:62" ht="21" customHeight="1" x14ac:dyDescent="0.3">
      <c r="B8" s="149"/>
      <c r="C8" s="150"/>
      <c r="D8" s="38"/>
      <c r="E8" s="38"/>
      <c r="F8" s="151"/>
      <c r="G8" s="38"/>
      <c r="H8" s="38"/>
      <c r="I8" s="38"/>
      <c r="J8" s="38"/>
      <c r="K8" s="38"/>
      <c r="L8" s="152"/>
      <c r="N8" s="69" t="s">
        <v>6</v>
      </c>
      <c r="O8" s="66"/>
      <c r="P8" s="70">
        <f>SUM(I7:I48)</f>
        <v>0</v>
      </c>
      <c r="Q8" s="70">
        <v>15</v>
      </c>
      <c r="R8" s="68">
        <f t="shared" si="0"/>
        <v>15</v>
      </c>
      <c r="S8" s="19"/>
      <c r="T8" s="2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2:62" ht="21" customHeight="1" x14ac:dyDescent="0.3">
      <c r="B9" s="149"/>
      <c r="C9" s="150"/>
      <c r="D9" s="38"/>
      <c r="E9" s="38"/>
      <c r="F9" s="151"/>
      <c r="G9" s="38"/>
      <c r="H9" s="38"/>
      <c r="I9" s="38"/>
      <c r="J9" s="38"/>
      <c r="K9" s="38"/>
      <c r="L9" s="152"/>
      <c r="N9" s="69" t="s">
        <v>7</v>
      </c>
      <c r="O9" s="71"/>
      <c r="P9" s="70">
        <f>SUM(J7:J48)</f>
        <v>0</v>
      </c>
      <c r="Q9" s="72">
        <v>15</v>
      </c>
      <c r="R9" s="68">
        <f t="shared" si="0"/>
        <v>15</v>
      </c>
      <c r="S9" s="19"/>
      <c r="T9" s="2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2:62" ht="21" customHeight="1" x14ac:dyDescent="0.3">
      <c r="B10" s="149"/>
      <c r="C10" s="150"/>
      <c r="D10" s="38"/>
      <c r="E10" s="38"/>
      <c r="F10" s="151"/>
      <c r="G10" s="38"/>
      <c r="H10" s="38"/>
      <c r="I10" s="38"/>
      <c r="J10" s="38"/>
      <c r="K10" s="38"/>
      <c r="L10" s="152"/>
      <c r="N10" s="69" t="s">
        <v>109</v>
      </c>
      <c r="O10" s="71"/>
      <c r="P10" s="70">
        <f>SUMIFS(D7:D48,L7:L48,"Skogsbruksvetenskap",E7:E48,"G2F")</f>
        <v>0</v>
      </c>
      <c r="Q10" s="72">
        <v>15</v>
      </c>
      <c r="R10" s="68">
        <f t="shared" si="0"/>
        <v>15</v>
      </c>
      <c r="S10" s="19"/>
      <c r="T10" s="20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2:62" ht="21" customHeight="1" x14ac:dyDescent="0.3">
      <c r="B11" s="149"/>
      <c r="C11" s="150"/>
      <c r="D11" s="38"/>
      <c r="E11" s="38"/>
      <c r="F11" s="151"/>
      <c r="G11" s="38"/>
      <c r="H11" s="38"/>
      <c r="I11" s="38"/>
      <c r="J11" s="38"/>
      <c r="K11" s="38"/>
      <c r="L11" s="152"/>
      <c r="N11" s="69" t="s">
        <v>40</v>
      </c>
      <c r="O11" s="71"/>
      <c r="P11" s="70">
        <f>SUMIFS(D7:D48,L7:L48,"Skogsbruksvetenskap",E7:E48,"A1N")+SUMIFS(D7:D48,L7:L48,"Skogsbruksvetenskap",E7:E48,"A1F")</f>
        <v>0</v>
      </c>
      <c r="Q11" s="72">
        <v>30</v>
      </c>
      <c r="R11" s="68">
        <f t="shared" si="0"/>
        <v>30</v>
      </c>
      <c r="S11" s="19"/>
      <c r="T11" s="20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2:62" ht="21" customHeight="1" x14ac:dyDescent="0.3">
      <c r="B12" s="149"/>
      <c r="C12" s="150"/>
      <c r="D12" s="129"/>
      <c r="E12" s="38"/>
      <c r="F12" s="153"/>
      <c r="G12" s="129"/>
      <c r="H12" s="129"/>
      <c r="I12" s="129"/>
      <c r="J12" s="129"/>
      <c r="K12" s="129"/>
      <c r="L12" s="152"/>
      <c r="N12" s="160" t="s">
        <v>10</v>
      </c>
      <c r="O12" s="161"/>
      <c r="P12" s="67">
        <f>SUMIFS(D7:D48,L7:L48,"Biologi")</f>
        <v>0</v>
      </c>
      <c r="Q12" s="67">
        <v>30</v>
      </c>
      <c r="R12" s="68">
        <f t="shared" si="0"/>
        <v>30</v>
      </c>
      <c r="S12" s="19"/>
      <c r="T12" s="185">
        <f t="shared" ref="T12:T14" si="1">IF(R12&lt;=0,Q12,P12)</f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2:62" ht="21" customHeight="1" x14ac:dyDescent="0.3">
      <c r="B13" s="149"/>
      <c r="C13" s="29"/>
      <c r="D13" s="38"/>
      <c r="E13" s="38"/>
      <c r="F13" s="151"/>
      <c r="G13" s="38"/>
      <c r="H13" s="38"/>
      <c r="I13" s="38"/>
      <c r="J13" s="38"/>
      <c r="K13" s="38"/>
      <c r="L13" s="152"/>
      <c r="N13" s="162" t="s">
        <v>11</v>
      </c>
      <c r="O13" s="66"/>
      <c r="P13" s="70">
        <f>SUM(K7:K48)</f>
        <v>0</v>
      </c>
      <c r="Q13" s="70">
        <v>15</v>
      </c>
      <c r="R13" s="68">
        <f t="shared" si="0"/>
        <v>15</v>
      </c>
      <c r="T13" s="20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2:62" ht="21" customHeight="1" x14ac:dyDescent="0.3">
      <c r="B14" s="149"/>
      <c r="C14" s="29"/>
      <c r="D14" s="38"/>
      <c r="E14" s="38"/>
      <c r="F14" s="151"/>
      <c r="G14" s="38"/>
      <c r="H14" s="38"/>
      <c r="I14" s="38"/>
      <c r="J14" s="38"/>
      <c r="K14" s="38"/>
      <c r="L14" s="152"/>
      <c r="N14" s="160" t="s">
        <v>12</v>
      </c>
      <c r="O14" s="66"/>
      <c r="P14" s="67">
        <f>SUMIFS(D7:D48,L7:L48,"Företagsekonomi")+SUMIFS(D7:D48,L7:L48,"Nationalekonomi")+SUMIFS(D7:D48,L7:L48,"Bioekonomimanagement")</f>
        <v>0</v>
      </c>
      <c r="Q14" s="67">
        <v>30</v>
      </c>
      <c r="R14" s="68">
        <f t="shared" si="0"/>
        <v>30</v>
      </c>
      <c r="T14" s="185">
        <f t="shared" si="1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2:62" ht="21" customHeight="1" thickBot="1" x14ac:dyDescent="0.35">
      <c r="B15" s="149"/>
      <c r="C15" s="29"/>
      <c r="D15" s="38"/>
      <c r="E15" s="38"/>
      <c r="F15" s="151"/>
      <c r="G15" s="38"/>
      <c r="H15" s="38"/>
      <c r="I15" s="38"/>
      <c r="J15" s="38"/>
      <c r="K15" s="38"/>
      <c r="L15" s="152"/>
      <c r="N15" s="163" t="s">
        <v>2</v>
      </c>
      <c r="O15" s="164"/>
      <c r="P15" s="165">
        <f>SUMIFS(D7:D48,L7:L48,"Företagsekonomi")</f>
        <v>0</v>
      </c>
      <c r="Q15" s="165">
        <v>15</v>
      </c>
      <c r="R15" s="186">
        <f t="shared" si="0"/>
        <v>15</v>
      </c>
      <c r="T15" s="20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2:62" ht="21" customHeight="1" x14ac:dyDescent="0.4">
      <c r="B16" s="149"/>
      <c r="C16" s="29"/>
      <c r="D16" s="38"/>
      <c r="E16" s="38"/>
      <c r="F16" s="151"/>
      <c r="G16" s="38"/>
      <c r="H16" s="38"/>
      <c r="I16" s="38"/>
      <c r="J16" s="38"/>
      <c r="K16" s="38"/>
      <c r="L16" s="152"/>
      <c r="N16" s="368" t="s">
        <v>55</v>
      </c>
      <c r="O16" s="369"/>
      <c r="P16" s="369"/>
      <c r="Q16" s="369"/>
      <c r="R16" s="370" t="s">
        <v>53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2:62" ht="21" customHeight="1" x14ac:dyDescent="0.35">
      <c r="B17" s="149"/>
      <c r="C17" s="29"/>
      <c r="D17" s="38"/>
      <c r="E17" s="38"/>
      <c r="F17" s="151"/>
      <c r="G17" s="38"/>
      <c r="H17" s="38"/>
      <c r="I17" s="38"/>
      <c r="J17" s="38"/>
      <c r="K17" s="38"/>
      <c r="L17" s="152"/>
      <c r="N17" s="166" t="s">
        <v>38</v>
      </c>
      <c r="O17" s="75"/>
      <c r="P17" s="75" t="s">
        <v>1</v>
      </c>
      <c r="Q17" s="75" t="s">
        <v>14</v>
      </c>
      <c r="R17" s="371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2:62" ht="21" customHeight="1" x14ac:dyDescent="0.3">
      <c r="B18" s="149"/>
      <c r="C18" s="29"/>
      <c r="D18" s="38"/>
      <c r="E18" s="38"/>
      <c r="F18" s="151"/>
      <c r="G18" s="38"/>
      <c r="H18" s="38"/>
      <c r="I18" s="38"/>
      <c r="J18" s="38"/>
      <c r="K18" s="38"/>
      <c r="L18" s="152"/>
      <c r="N18" s="167" t="s">
        <v>56</v>
      </c>
      <c r="O18" s="168"/>
      <c r="P18" s="169">
        <f>SUM(D7:D48)-(T6+T12+T14)-SUMIFS(D7:D48,L7:L48,"Annat ämne")</f>
        <v>0</v>
      </c>
      <c r="Q18" s="169">
        <v>105</v>
      </c>
      <c r="R18" s="68">
        <f>IF((Q18-P18)&lt;0,0,SUM(Q18-P18))</f>
        <v>105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2:62" ht="21" customHeight="1" x14ac:dyDescent="0.3">
      <c r="B19" s="149"/>
      <c r="C19" s="29"/>
      <c r="D19" s="38"/>
      <c r="E19" s="38"/>
      <c r="F19" s="151"/>
      <c r="G19" s="38"/>
      <c r="H19" s="38"/>
      <c r="I19" s="38"/>
      <c r="J19" s="38"/>
      <c r="K19" s="38"/>
      <c r="L19" s="152"/>
      <c r="N19" s="170" t="s">
        <v>35</v>
      </c>
      <c r="O19" s="76"/>
      <c r="P19" s="77">
        <f>SUMIFS(D7:D48,E7:E48,"G2E")</f>
        <v>0</v>
      </c>
      <c r="Q19" s="77">
        <v>15</v>
      </c>
      <c r="R19" s="68">
        <f t="shared" ref="R19:R26" si="2">IF((Q19-P19)&lt;0,0,SUM(Q19-P19))</f>
        <v>15</v>
      </c>
      <c r="V19" s="114"/>
      <c r="W19" s="11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2:62" ht="21" customHeight="1" x14ac:dyDescent="0.3">
      <c r="B20" s="149"/>
      <c r="C20" s="29"/>
      <c r="D20" s="38"/>
      <c r="E20" s="38"/>
      <c r="F20" s="151"/>
      <c r="G20" s="38"/>
      <c r="H20" s="38"/>
      <c r="I20" s="38"/>
      <c r="J20" s="38"/>
      <c r="K20" s="38"/>
      <c r="L20" s="152"/>
      <c r="N20" s="170" t="s">
        <v>60</v>
      </c>
      <c r="O20" s="76"/>
      <c r="P20" s="77">
        <f>SUMIFS(D7:D48,E7:E48,"A1N")+SUMIFS(D7:D48,E7:E48,"A1F")+SUMIFS(D7:D48,E7:E48,"A2E")</f>
        <v>0</v>
      </c>
      <c r="Q20" s="77">
        <v>90</v>
      </c>
      <c r="R20" s="68">
        <f>IF((Q20-P20)&lt;0,0,SUM(Q20-P20))</f>
        <v>90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2:62" ht="21" customHeight="1" x14ac:dyDescent="0.3">
      <c r="B21" s="149"/>
      <c r="C21" s="29"/>
      <c r="D21" s="38"/>
      <c r="E21" s="38"/>
      <c r="F21" s="151"/>
      <c r="G21" s="38"/>
      <c r="H21" s="38"/>
      <c r="I21" s="38"/>
      <c r="J21" s="38"/>
      <c r="K21" s="38"/>
      <c r="L21" s="152"/>
      <c r="N21" s="167" t="s">
        <v>72</v>
      </c>
      <c r="O21" s="76"/>
      <c r="P21" s="77"/>
      <c r="Q21" s="77"/>
      <c r="R21" s="68"/>
      <c r="U21" s="353" t="s">
        <v>112</v>
      </c>
      <c r="V21" s="354"/>
      <c r="W21" s="35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2:62" ht="21" customHeight="1" x14ac:dyDescent="0.3">
      <c r="B22" s="149"/>
      <c r="C22" s="29"/>
      <c r="D22" s="38"/>
      <c r="E22" s="38"/>
      <c r="F22" s="151"/>
      <c r="G22" s="38"/>
      <c r="H22" s="38"/>
      <c r="I22" s="38"/>
      <c r="J22" s="38"/>
      <c r="K22" s="38"/>
      <c r="L22" s="152"/>
      <c r="N22" s="171" t="s">
        <v>42</v>
      </c>
      <c r="O22" s="76"/>
      <c r="P22" s="79">
        <f>SUMIFS(D7:D48,L7:L48,"Biologi",E7:E48,"A1N")+SUMIFS(D7:D48,L7:L48,"Biologi",E7:E48,"A1F")+SUMIFS(D7:D48,L7:L48,"Biologi",E7:E48,"A2E")</f>
        <v>0</v>
      </c>
      <c r="Q22" s="79">
        <v>60</v>
      </c>
      <c r="R22" s="68">
        <f t="shared" si="2"/>
        <v>60</v>
      </c>
      <c r="U22" s="356"/>
      <c r="V22" s="357"/>
      <c r="W22" s="358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2:62" ht="21" customHeight="1" x14ac:dyDescent="0.3">
      <c r="B23" s="149"/>
      <c r="C23" s="29"/>
      <c r="D23" s="38"/>
      <c r="E23" s="38"/>
      <c r="F23" s="151"/>
      <c r="G23" s="38"/>
      <c r="H23" s="38"/>
      <c r="I23" s="38"/>
      <c r="J23" s="38"/>
      <c r="K23" s="38"/>
      <c r="L23" s="152"/>
      <c r="N23" s="171" t="s">
        <v>4</v>
      </c>
      <c r="O23" s="76"/>
      <c r="P23" s="79">
        <f>SUMIFS(D7:D48,L7:L48,"Skogsbruksvetenskap",E7:E48,"A1N")+SUMIFS(D7:D48,L7:L48,"Skogsbruksvetenskap",E7:E48,"A1F")+SUMIFS(D7:D48,L7:L48,"Skogsbruksvetenskap",E7:E48,"A2E")</f>
        <v>0</v>
      </c>
      <c r="Q23" s="79">
        <v>60</v>
      </c>
      <c r="R23" s="68">
        <f t="shared" si="2"/>
        <v>60</v>
      </c>
      <c r="U23" s="356"/>
      <c r="V23" s="357"/>
      <c r="W23" s="358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2:62" ht="21" customHeight="1" x14ac:dyDescent="0.3">
      <c r="B24" s="149"/>
      <c r="C24" s="29"/>
      <c r="D24" s="38"/>
      <c r="E24" s="38"/>
      <c r="F24" s="151"/>
      <c r="G24" s="38"/>
      <c r="H24" s="150"/>
      <c r="I24" s="150"/>
      <c r="J24" s="150"/>
      <c r="K24" s="150"/>
      <c r="L24" s="152"/>
      <c r="N24" s="171" t="s">
        <v>2</v>
      </c>
      <c r="O24" s="76"/>
      <c r="P24" s="79">
        <f>SUMIFS(D7:D48,L7:L48,"Företagsekonomi",E7:E48,"A1N")+SUMIFS(D7:D48,L7:L48,"Företagsekonomi",E7:E48,"A1F")+SUMIFS(D7:D48,L7:L48,"Företagsekonomi",E7:E48,"A2E")</f>
        <v>0</v>
      </c>
      <c r="Q24" s="79">
        <v>60</v>
      </c>
      <c r="R24" s="68">
        <f t="shared" si="2"/>
        <v>60</v>
      </c>
      <c r="U24" s="356"/>
      <c r="V24" s="357"/>
      <c r="W24" s="358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2:62" ht="21" customHeight="1" x14ac:dyDescent="0.3">
      <c r="B25" s="149"/>
      <c r="C25" s="29"/>
      <c r="D25" s="38"/>
      <c r="E25" s="38"/>
      <c r="F25" s="151"/>
      <c r="G25" s="38"/>
      <c r="H25" s="150"/>
      <c r="I25" s="150"/>
      <c r="J25" s="150"/>
      <c r="K25" s="150"/>
      <c r="L25" s="152"/>
      <c r="N25" s="171" t="s">
        <v>34</v>
      </c>
      <c r="O25" s="76"/>
      <c r="P25" s="79">
        <f>SUMIFS(D7:D48,L7:L48,"Bioekonomimanagement",E7:E48,"A1N")+SUMIFS(D7:D48,L7:L48,"Bioekonomimanagement",E7:E48,"A1F")+SUMIFS(D7:D48,L7:L48,"Bioekonomimanagement",E7:E48,"A2E")</f>
        <v>0</v>
      </c>
      <c r="Q25" s="79">
        <v>60</v>
      </c>
      <c r="R25" s="68">
        <f t="shared" si="2"/>
        <v>60</v>
      </c>
      <c r="U25" s="356"/>
      <c r="V25" s="357"/>
      <c r="W25" s="358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2:62" ht="21" customHeight="1" thickBot="1" x14ac:dyDescent="0.35">
      <c r="B26" s="149"/>
      <c r="C26" s="29"/>
      <c r="D26" s="38"/>
      <c r="E26" s="38"/>
      <c r="F26" s="151"/>
      <c r="G26" s="38"/>
      <c r="H26" s="29"/>
      <c r="I26" s="29"/>
      <c r="J26" s="29"/>
      <c r="K26" s="29"/>
      <c r="L26" s="152"/>
      <c r="N26" s="172" t="s">
        <v>69</v>
      </c>
      <c r="O26" s="173"/>
      <c r="P26" s="82">
        <f>SUMIFS(D7:D48,E7:E48,"A2E")</f>
        <v>0</v>
      </c>
      <c r="Q26" s="174">
        <v>30</v>
      </c>
      <c r="R26" s="186">
        <f t="shared" si="2"/>
        <v>30</v>
      </c>
      <c r="U26" s="356"/>
      <c r="V26" s="357"/>
      <c r="W26" s="358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2:62" ht="21" customHeight="1" thickBot="1" x14ac:dyDescent="0.4">
      <c r="B27" s="149"/>
      <c r="C27" s="29"/>
      <c r="D27" s="38"/>
      <c r="E27" s="38"/>
      <c r="F27" s="151"/>
      <c r="G27" s="38"/>
      <c r="H27" s="29"/>
      <c r="I27" s="154"/>
      <c r="J27" s="154"/>
      <c r="K27" s="130"/>
      <c r="L27" s="152"/>
      <c r="N27" s="175" t="s">
        <v>66</v>
      </c>
      <c r="O27" s="176"/>
      <c r="P27" s="177">
        <f>SUM(D7:D48)</f>
        <v>0</v>
      </c>
      <c r="Q27" s="177">
        <v>300</v>
      </c>
      <c r="R27" s="178">
        <f>IF((Q27-P27)&lt;0,0,SUM(Q27-P27))</f>
        <v>300</v>
      </c>
      <c r="U27" s="359"/>
      <c r="V27" s="360"/>
      <c r="W27" s="361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2:62" ht="21" customHeight="1" x14ac:dyDescent="0.3">
      <c r="B28" s="149"/>
      <c r="C28" s="29"/>
      <c r="D28" s="38"/>
      <c r="E28" s="38"/>
      <c r="F28" s="151"/>
      <c r="G28" s="38"/>
      <c r="H28" s="29"/>
      <c r="I28" s="154"/>
      <c r="J28" s="154"/>
      <c r="K28" s="130"/>
      <c r="L28" s="152"/>
      <c r="N28" s="155"/>
      <c r="O28" s="155"/>
      <c r="P28" s="24"/>
      <c r="Q28" s="156"/>
      <c r="R28" s="42"/>
      <c r="V28" s="114"/>
      <c r="W28" s="11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2:62" ht="21" customHeight="1" x14ac:dyDescent="0.3">
      <c r="B29" s="149"/>
      <c r="C29" s="29"/>
      <c r="D29" s="38"/>
      <c r="E29" s="38"/>
      <c r="F29" s="151"/>
      <c r="G29" s="38"/>
      <c r="H29" s="29"/>
      <c r="I29" s="154"/>
      <c r="J29" s="154"/>
      <c r="K29" s="130"/>
      <c r="L29" s="152"/>
      <c r="N29" s="155"/>
      <c r="O29" s="155"/>
      <c r="P29" s="24"/>
      <c r="Q29" s="156"/>
      <c r="R29" s="4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2:62" ht="21" customHeight="1" x14ac:dyDescent="0.3">
      <c r="B30" s="149"/>
      <c r="C30" s="29"/>
      <c r="D30" s="38"/>
      <c r="E30" s="38"/>
      <c r="F30" s="151"/>
      <c r="G30" s="38"/>
      <c r="H30" s="29"/>
      <c r="I30" s="154"/>
      <c r="J30" s="154"/>
      <c r="K30" s="130"/>
      <c r="L30" s="152"/>
      <c r="N30" s="155"/>
      <c r="O30" s="155"/>
      <c r="P30" s="24"/>
      <c r="Q30" s="156"/>
      <c r="R30" s="4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2:62" ht="21" customHeight="1" x14ac:dyDescent="0.3">
      <c r="B31" s="149"/>
      <c r="C31" s="29"/>
      <c r="D31" s="38"/>
      <c r="E31" s="38"/>
      <c r="F31" s="151"/>
      <c r="G31" s="38"/>
      <c r="H31" s="29"/>
      <c r="I31" s="154"/>
      <c r="J31" s="154"/>
      <c r="K31" s="130"/>
      <c r="L31" s="152"/>
      <c r="N31" s="155"/>
      <c r="O31" s="155"/>
      <c r="P31" s="24"/>
      <c r="Q31" s="156"/>
      <c r="R31" s="4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2:62" ht="21" customHeight="1" x14ac:dyDescent="0.3">
      <c r="B32" s="149"/>
      <c r="C32" s="29"/>
      <c r="D32" s="38"/>
      <c r="E32" s="38"/>
      <c r="F32" s="151"/>
      <c r="G32" s="38"/>
      <c r="H32" s="29"/>
      <c r="I32" s="29"/>
      <c r="J32" s="29"/>
      <c r="K32" s="29"/>
      <c r="L32" s="152"/>
      <c r="N32" s="155"/>
      <c r="O32" s="155"/>
      <c r="P32" s="24"/>
      <c r="Q32" s="156"/>
      <c r="R32" s="4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2:62" ht="21" customHeight="1" x14ac:dyDescent="0.3">
      <c r="B33" s="191"/>
      <c r="C33" s="189"/>
      <c r="D33" s="38"/>
      <c r="E33" s="38"/>
      <c r="F33" s="151"/>
      <c r="G33" s="38"/>
      <c r="H33" s="189"/>
      <c r="I33" s="189"/>
      <c r="J33" s="189"/>
      <c r="K33" s="189"/>
      <c r="L33" s="152"/>
      <c r="N33" s="155"/>
      <c r="O33" s="155"/>
      <c r="P33" s="24"/>
      <c r="Q33" s="156"/>
      <c r="R33" s="4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2:62" ht="21" customHeight="1" x14ac:dyDescent="0.3">
      <c r="B34" s="191"/>
      <c r="C34" s="189"/>
      <c r="D34" s="38"/>
      <c r="E34" s="38"/>
      <c r="F34" s="151"/>
      <c r="G34" s="38"/>
      <c r="H34" s="189"/>
      <c r="I34" s="189"/>
      <c r="J34" s="189"/>
      <c r="K34" s="189"/>
      <c r="L34" s="152"/>
      <c r="N34" s="155"/>
      <c r="O34" s="155"/>
      <c r="P34" s="24"/>
      <c r="Q34" s="156"/>
      <c r="R34" s="4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2:62" ht="19.5" customHeight="1" x14ac:dyDescent="0.3">
      <c r="B35" s="192"/>
      <c r="C35" s="188"/>
      <c r="D35" s="38"/>
      <c r="E35" s="38"/>
      <c r="F35" s="151"/>
      <c r="G35" s="38"/>
      <c r="H35" s="190"/>
      <c r="I35" s="190"/>
      <c r="J35" s="190"/>
      <c r="K35" s="187"/>
      <c r="L35" s="152"/>
      <c r="N35" s="4"/>
      <c r="O35" s="4"/>
      <c r="P35" s="4"/>
      <c r="Q35" s="4"/>
      <c r="R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2:62" ht="22.5" customHeight="1" x14ac:dyDescent="0.3">
      <c r="B36" s="192"/>
      <c r="C36" s="188"/>
      <c r="D36" s="38"/>
      <c r="E36" s="38"/>
      <c r="F36" s="151"/>
      <c r="G36" s="38"/>
      <c r="H36" s="188"/>
      <c r="I36" s="187"/>
      <c r="J36" s="188"/>
      <c r="K36" s="187"/>
      <c r="L36" s="152"/>
      <c r="N36" s="4"/>
      <c r="O36" s="4"/>
      <c r="P36" s="4"/>
      <c r="Q36" s="4"/>
      <c r="R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2:62" ht="21" customHeight="1" x14ac:dyDescent="0.3">
      <c r="B37" s="149"/>
      <c r="C37" s="29"/>
      <c r="D37" s="38"/>
      <c r="E37" s="38"/>
      <c r="F37" s="151"/>
      <c r="G37" s="38"/>
      <c r="H37" s="39"/>
      <c r="I37" s="39"/>
      <c r="J37" s="39"/>
      <c r="K37" s="39"/>
      <c r="L37" s="152"/>
      <c r="N37" s="4"/>
      <c r="O37" s="4"/>
      <c r="P37" s="4"/>
      <c r="Q37" s="4"/>
      <c r="R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2:62" ht="21" customHeight="1" x14ac:dyDescent="0.3">
      <c r="B38" s="149"/>
      <c r="C38" s="29"/>
      <c r="D38" s="38"/>
      <c r="E38" s="38"/>
      <c r="F38" s="151"/>
      <c r="G38" s="38"/>
      <c r="H38" s="39"/>
      <c r="I38" s="39"/>
      <c r="J38" s="39"/>
      <c r="K38" s="39"/>
      <c r="L38" s="152"/>
      <c r="N38" s="4"/>
      <c r="O38" s="4"/>
      <c r="P38" s="4"/>
      <c r="Q38" s="4"/>
      <c r="R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2:62" ht="21" customHeight="1" x14ac:dyDescent="0.3">
      <c r="B39" s="149"/>
      <c r="C39" s="29"/>
      <c r="D39" s="38"/>
      <c r="E39" s="38"/>
      <c r="F39" s="151"/>
      <c r="G39" s="38"/>
      <c r="H39" s="39"/>
      <c r="I39" s="39"/>
      <c r="J39" s="39"/>
      <c r="K39" s="39"/>
      <c r="L39" s="152"/>
      <c r="N39" s="4"/>
      <c r="O39" s="4"/>
      <c r="P39" s="4"/>
      <c r="Q39" s="4"/>
      <c r="R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2:62" ht="21" customHeight="1" x14ac:dyDescent="0.3">
      <c r="B40" s="149"/>
      <c r="C40" s="29"/>
      <c r="D40" s="38"/>
      <c r="E40" s="38"/>
      <c r="F40" s="151"/>
      <c r="G40" s="38"/>
      <c r="H40" s="39"/>
      <c r="I40" s="39"/>
      <c r="J40" s="39"/>
      <c r="K40" s="39"/>
      <c r="L40" s="152"/>
      <c r="N40" s="4"/>
      <c r="O40" s="4"/>
      <c r="P40" s="4"/>
      <c r="Q40" s="4"/>
      <c r="R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2:62" ht="21" customHeight="1" x14ac:dyDescent="0.3">
      <c r="B41" s="149"/>
      <c r="C41" s="29"/>
      <c r="D41" s="38"/>
      <c r="E41" s="38"/>
      <c r="F41" s="151"/>
      <c r="G41" s="38"/>
      <c r="H41" s="39"/>
      <c r="I41" s="39"/>
      <c r="J41" s="39"/>
      <c r="K41" s="39"/>
      <c r="L41" s="152"/>
      <c r="N41" s="4"/>
      <c r="O41" s="4"/>
      <c r="P41" s="4"/>
      <c r="Q41" s="4"/>
      <c r="R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2:62" ht="21" customHeight="1" x14ac:dyDescent="0.3">
      <c r="B42" s="149"/>
      <c r="C42" s="29"/>
      <c r="D42" s="38"/>
      <c r="E42" s="38"/>
      <c r="F42" s="151"/>
      <c r="G42" s="38"/>
      <c r="H42" s="39"/>
      <c r="I42" s="39"/>
      <c r="J42" s="39"/>
      <c r="K42" s="39"/>
      <c r="L42" s="152"/>
      <c r="N42" s="4"/>
      <c r="O42" s="4"/>
      <c r="P42" s="4"/>
      <c r="Q42" s="4"/>
      <c r="R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2:62" ht="21" customHeight="1" x14ac:dyDescent="0.3">
      <c r="B43" s="149"/>
      <c r="C43" s="29"/>
      <c r="D43" s="38"/>
      <c r="E43" s="38"/>
      <c r="F43" s="151"/>
      <c r="G43" s="38"/>
      <c r="H43" s="39"/>
      <c r="I43" s="39"/>
      <c r="J43" s="39"/>
      <c r="K43" s="39"/>
      <c r="L43" s="152"/>
      <c r="N43" s="4"/>
      <c r="O43" s="4"/>
      <c r="P43" s="4"/>
      <c r="Q43" s="4"/>
      <c r="R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2:62" ht="21" customHeight="1" x14ac:dyDescent="0.3">
      <c r="B44" s="149"/>
      <c r="C44" s="29"/>
      <c r="D44" s="38"/>
      <c r="E44" s="38"/>
      <c r="F44" s="151"/>
      <c r="G44" s="38"/>
      <c r="H44" s="39"/>
      <c r="I44" s="39"/>
      <c r="J44" s="39"/>
      <c r="K44" s="39"/>
      <c r="L44" s="152"/>
      <c r="N44" s="4"/>
      <c r="O44" s="4"/>
      <c r="P44" s="4"/>
      <c r="Q44" s="4"/>
      <c r="R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2:62" ht="21" customHeight="1" x14ac:dyDescent="0.3">
      <c r="B45" s="149"/>
      <c r="C45" s="29"/>
      <c r="D45" s="38"/>
      <c r="E45" s="38"/>
      <c r="F45" s="151"/>
      <c r="G45" s="38"/>
      <c r="H45" s="39"/>
      <c r="I45" s="39"/>
      <c r="J45" s="39"/>
      <c r="K45" s="39"/>
      <c r="L45" s="152"/>
      <c r="N45" s="4"/>
      <c r="O45" s="4"/>
      <c r="P45" s="4"/>
      <c r="Q45" s="4"/>
      <c r="R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2:62" ht="21" customHeight="1" x14ac:dyDescent="0.3">
      <c r="B46" s="149"/>
      <c r="C46" s="29"/>
      <c r="D46" s="38"/>
      <c r="E46" s="38"/>
      <c r="F46" s="151"/>
      <c r="G46" s="38"/>
      <c r="H46" s="39"/>
      <c r="I46" s="39"/>
      <c r="J46" s="39"/>
      <c r="K46" s="39"/>
      <c r="L46" s="152"/>
      <c r="N46" s="4"/>
      <c r="O46" s="4"/>
      <c r="P46" s="4"/>
      <c r="Q46" s="4"/>
      <c r="R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2:62" ht="21" customHeight="1" x14ac:dyDescent="0.3">
      <c r="B47" s="149"/>
      <c r="C47" s="29"/>
      <c r="D47" s="38"/>
      <c r="E47" s="38"/>
      <c r="F47" s="151"/>
      <c r="G47" s="38"/>
      <c r="H47" s="39"/>
      <c r="I47" s="39"/>
      <c r="J47" s="39"/>
      <c r="K47" s="39"/>
      <c r="L47" s="152"/>
      <c r="N47" s="4"/>
      <c r="O47" s="4"/>
      <c r="P47" s="4"/>
      <c r="Q47" s="4"/>
      <c r="R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2:62" ht="21" customHeight="1" thickBot="1" x14ac:dyDescent="0.35">
      <c r="B48" s="157"/>
      <c r="C48" s="45"/>
      <c r="D48" s="44"/>
      <c r="E48" s="38"/>
      <c r="F48" s="45"/>
      <c r="G48" s="44"/>
      <c r="H48" s="46"/>
      <c r="I48" s="46"/>
      <c r="J48" s="46"/>
      <c r="K48" s="46"/>
      <c r="L48" s="47"/>
      <c r="N48" s="4"/>
      <c r="O48" s="4"/>
      <c r="P48" s="4"/>
      <c r="Q48" s="4"/>
      <c r="R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2:62" ht="21" customHeight="1" x14ac:dyDescent="0.3">
      <c r="B49" s="4"/>
      <c r="C49" s="4"/>
      <c r="D49" s="48"/>
      <c r="E49" s="48"/>
      <c r="F49" s="4"/>
      <c r="G49" s="4"/>
      <c r="H49" s="4"/>
      <c r="I49" s="4"/>
      <c r="J49" s="4"/>
      <c r="K49" s="4"/>
      <c r="L49" s="4"/>
      <c r="N49" s="4"/>
      <c r="O49" s="4"/>
      <c r="P49" s="4"/>
      <c r="Q49" s="4"/>
      <c r="R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2:62" ht="21" customHeight="1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N50" s="4"/>
      <c r="O50" s="4"/>
      <c r="P50" s="4"/>
      <c r="Q50" s="4"/>
      <c r="R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2:62" ht="21" customHeigh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N51" s="4"/>
      <c r="O51" s="4"/>
      <c r="P51" s="4"/>
      <c r="Q51" s="4"/>
      <c r="R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2:62" ht="17.25" customHeight="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N52" s="4"/>
      <c r="O52" s="4"/>
      <c r="P52" s="4"/>
      <c r="Q52" s="4"/>
      <c r="R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2:62" ht="17.25" customHeight="1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N53" s="4"/>
      <c r="O53" s="4"/>
      <c r="P53" s="4"/>
      <c r="Q53" s="4"/>
      <c r="R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2:62" ht="17.25" customHeight="1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N54" s="4"/>
      <c r="O54" s="4"/>
      <c r="P54" s="4"/>
      <c r="Q54" s="4"/>
      <c r="R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2:62" ht="17.25" customHeigh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N55" s="4"/>
      <c r="O55" s="4"/>
      <c r="P55" s="4"/>
      <c r="Q55" s="4"/>
      <c r="R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62" ht="17.25" customHeight="1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N56" s="4"/>
      <c r="O56" s="4"/>
      <c r="P56" s="4"/>
      <c r="Q56" s="4"/>
      <c r="R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62" ht="17.25" customHeigh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N57" s="4"/>
      <c r="O57" s="4"/>
      <c r="P57" s="4"/>
      <c r="Q57" s="4"/>
      <c r="R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62" ht="17.25" customHeight="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62" ht="17.25" customHeight="1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N59" s="4"/>
      <c r="O59" s="4"/>
      <c r="P59" s="4"/>
      <c r="Q59" s="4"/>
      <c r="R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:62" ht="17.25" customHeight="1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4"/>
      <c r="O60" s="4"/>
      <c r="P60" s="4"/>
      <c r="Q60" s="4"/>
      <c r="R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:62" ht="17.25" customHeight="1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O61" s="4"/>
      <c r="P61" s="4"/>
      <c r="Q61" s="4"/>
      <c r="R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:62" ht="21.75" customHeight="1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N62" s="4"/>
      <c r="O62" s="4"/>
      <c r="P62" s="4"/>
      <c r="Q62" s="4"/>
      <c r="R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2:62" ht="17.25" customHeight="1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N63" s="4"/>
      <c r="O63" s="4"/>
      <c r="P63" s="4"/>
      <c r="Q63" s="4"/>
      <c r="R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:62" ht="17.25" customHeight="1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N64" s="4"/>
      <c r="O64" s="4"/>
      <c r="P64" s="4"/>
      <c r="Q64" s="4"/>
      <c r="R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:54" ht="17.25" customHeight="1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N65" s="4"/>
      <c r="O65" s="4"/>
      <c r="P65" s="4"/>
      <c r="Q65" s="4"/>
      <c r="R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:54" ht="17.25" customHeight="1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N66" s="4"/>
      <c r="O66" s="4"/>
      <c r="P66" s="4"/>
      <c r="Q66" s="4"/>
      <c r="R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:54" ht="17.25" customHeight="1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N67" s="4"/>
      <c r="O67" s="4"/>
      <c r="P67" s="4"/>
      <c r="Q67" s="4"/>
      <c r="R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2:54" ht="17.25" customHeight="1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N68" s="4"/>
      <c r="O68" s="4"/>
      <c r="P68" s="4"/>
      <c r="Q68" s="4"/>
      <c r="R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2:54" ht="17.25" customHeight="1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20"/>
      <c r="N69" s="20"/>
      <c r="O69" s="4"/>
      <c r="P69" s="4"/>
      <c r="Q69" s="4"/>
      <c r="R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2:54" ht="17.25" customHeight="1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20"/>
      <c r="N70" s="20"/>
      <c r="O70" s="4"/>
      <c r="P70" s="4"/>
      <c r="Q70" s="4"/>
      <c r="R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2:54" ht="17.25" customHeight="1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0"/>
      <c r="N71" s="20"/>
      <c r="O71" s="4"/>
      <c r="P71" s="4"/>
      <c r="Q71" s="4"/>
      <c r="R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2:54" ht="17.25" customHeight="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20"/>
      <c r="N72" s="20"/>
      <c r="O72" s="4"/>
      <c r="P72" s="4"/>
      <c r="Q72" s="4"/>
      <c r="R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2:54" ht="17.25" customHeight="1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20">
        <v>7.5</v>
      </c>
      <c r="N73" s="20" t="s">
        <v>20</v>
      </c>
      <c r="O73" s="4"/>
      <c r="P73" s="4"/>
      <c r="Q73" s="4"/>
      <c r="R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2:54" ht="17.25" customHeight="1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20">
        <v>15</v>
      </c>
      <c r="N74" s="20" t="s">
        <v>21</v>
      </c>
      <c r="O74" s="4"/>
      <c r="P74" s="4"/>
      <c r="Q74" s="4"/>
      <c r="R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2:54" ht="17.25" customHeigh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20">
        <v>30</v>
      </c>
      <c r="N75" s="20" t="s">
        <v>17</v>
      </c>
      <c r="O75" s="4"/>
      <c r="P75" s="4"/>
      <c r="Q75" s="4"/>
      <c r="R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2:54" ht="17.25" customHeight="1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20">
        <v>60</v>
      </c>
      <c r="N76" s="20" t="s">
        <v>18</v>
      </c>
      <c r="O76" s="4"/>
      <c r="P76" s="4"/>
      <c r="Q76" s="4"/>
      <c r="R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2:54" ht="17.25" customHeight="1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20"/>
      <c r="N77" s="20" t="s">
        <v>19</v>
      </c>
      <c r="O77" s="4"/>
      <c r="P77" s="4"/>
      <c r="Q77" s="4"/>
      <c r="R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2:54" ht="17.25" customHeigh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20"/>
      <c r="N78" s="20" t="s">
        <v>22</v>
      </c>
      <c r="O78" s="4"/>
      <c r="P78" s="4"/>
      <c r="Q78" s="4"/>
      <c r="R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2:54" ht="17.25" customHeight="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20"/>
      <c r="N79" s="20" t="s">
        <v>43</v>
      </c>
      <c r="O79" s="4"/>
      <c r="P79" s="4"/>
      <c r="Q79" s="4"/>
      <c r="R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2:54" ht="17.25" customHeight="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20"/>
      <c r="N80" s="20"/>
      <c r="O80" s="4"/>
      <c r="P80" s="4"/>
      <c r="Q80" s="4"/>
      <c r="R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2:54" ht="17.25" customHeight="1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20"/>
      <c r="N81" s="20"/>
      <c r="O81" s="4"/>
      <c r="P81" s="4"/>
      <c r="Q81" s="4"/>
      <c r="R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2:54" ht="17.25" customHeight="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20"/>
      <c r="N82" s="20"/>
      <c r="O82" s="4"/>
      <c r="P82" s="4"/>
      <c r="Q82" s="4"/>
      <c r="R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2:54" ht="17.25" customHeight="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20"/>
      <c r="N83" s="20"/>
      <c r="O83" s="4"/>
      <c r="P83" s="4"/>
      <c r="Q83" s="4"/>
      <c r="R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2:54" ht="17.25" customHeight="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20"/>
      <c r="N84" s="20"/>
      <c r="O84" s="4"/>
      <c r="P84" s="4"/>
      <c r="Q84" s="4"/>
      <c r="R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2:54" ht="17.25" customHeight="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N85" s="4"/>
      <c r="O85" s="4"/>
      <c r="P85" s="4"/>
      <c r="Q85" s="4"/>
      <c r="R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2:54" ht="17.25" customHeigh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N86" s="4"/>
      <c r="O86" s="4"/>
      <c r="P86" s="4"/>
      <c r="Q86" s="4"/>
      <c r="R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2:54" ht="17.25" customHeight="1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N87" s="4"/>
      <c r="O87" s="4"/>
      <c r="P87" s="4"/>
      <c r="Q87" s="4"/>
      <c r="R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2:54" ht="17.25" customHeight="1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N88" s="4"/>
      <c r="O88" s="4"/>
      <c r="P88" s="4"/>
      <c r="Q88" s="4"/>
      <c r="R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2:54" ht="17.25" customHeight="1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N89" s="4"/>
      <c r="O89" s="4"/>
      <c r="P89" s="4"/>
      <c r="Q89" s="4"/>
      <c r="R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2:54" ht="17.25" customHeight="1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N90" s="4"/>
      <c r="O90" s="4"/>
      <c r="P90" s="4"/>
      <c r="Q90" s="4"/>
      <c r="R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2:54" ht="17.25" customHeight="1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N91" s="4"/>
      <c r="O91" s="4"/>
      <c r="P91" s="4"/>
      <c r="Q91" s="4"/>
      <c r="R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2:54" ht="17.25" customHeight="1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N92" s="4"/>
      <c r="O92" s="4"/>
      <c r="P92" s="4"/>
      <c r="Q92" s="4"/>
      <c r="R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</row>
    <row r="93" spans="2:54" ht="17.25" customHeight="1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N93" s="4"/>
      <c r="O93" s="4"/>
      <c r="P93" s="4"/>
      <c r="Q93" s="4"/>
      <c r="R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2:54" ht="17.25" customHeight="1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54" ht="17.25" customHeight="1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2:54" ht="17.25" customHeight="1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ht="17.25" customHeight="1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2:12" ht="17.25" customHeight="1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2" ht="17.25" customHeight="1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2:12" ht="17.25" customHeight="1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2:12" ht="17.25" customHeight="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2:12" ht="17.25" customHeight="1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2:12" ht="17.25" customHeight="1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</sheetData>
  <sheetProtection sheet="1" objects="1" scenarios="1" formatCells="0"/>
  <mergeCells count="13">
    <mergeCell ref="U21:W27"/>
    <mergeCell ref="C5:G5"/>
    <mergeCell ref="B1:L2"/>
    <mergeCell ref="N3:R3"/>
    <mergeCell ref="R4:R5"/>
    <mergeCell ref="N16:Q16"/>
    <mergeCell ref="R16:R17"/>
    <mergeCell ref="N4:Q4"/>
    <mergeCell ref="B3:L4"/>
    <mergeCell ref="K5:K6"/>
    <mergeCell ref="H5:J5"/>
    <mergeCell ref="B5:B6"/>
    <mergeCell ref="L5:L6"/>
  </mergeCells>
  <conditionalFormatting sqref="R6:R15">
    <cfRule type="cellIs" dxfId="1" priority="5" operator="greaterThan">
      <formula>0</formula>
    </cfRule>
  </conditionalFormatting>
  <conditionalFormatting sqref="R18:R34">
    <cfRule type="cellIs" dxfId="0" priority="1" operator="greaterThan">
      <formula>0</formula>
    </cfRule>
  </conditionalFormatting>
  <dataValidations count="1">
    <dataValidation type="list" allowBlank="1" showInputMessage="1" showErrorMessage="1" sqref="L7:L48" xr:uid="{00000000-0002-0000-0200-000000000000}">
      <formula1>F7:G7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'JM-kraven'!$A$2:$A$16</xm:f>
          </x14:formula1>
          <xm:sqref>G7:G48 F7:F47</xm:sqref>
        </x14:dataValidation>
        <x14:dataValidation type="list" allowBlank="1" showInputMessage="1" showErrorMessage="1" xr:uid="{00000000-0002-0000-0200-000004000000}">
          <x14:formula1>
            <xm:f>'JM-kraven'!$A$19:$A$22</xm:f>
          </x14:formula1>
          <xm:sqref>F48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5"/>
  <sheetViews>
    <sheetView workbookViewId="0">
      <selection activeCell="Q28" sqref="Q28"/>
    </sheetView>
  </sheetViews>
  <sheetFormatPr defaultRowHeight="14.4" x14ac:dyDescent="0.3"/>
  <cols>
    <col min="1" max="1" width="26.44140625" customWidth="1"/>
    <col min="2" max="6" width="9.109375" customWidth="1"/>
    <col min="8" max="19" width="9.109375" customWidth="1"/>
  </cols>
  <sheetData>
    <row r="2" spans="1:6" x14ac:dyDescent="0.3">
      <c r="A2" t="s">
        <v>34</v>
      </c>
      <c r="C2" t="s">
        <v>2</v>
      </c>
      <c r="F2">
        <v>7.5</v>
      </c>
    </row>
    <row r="3" spans="1:6" x14ac:dyDescent="0.3">
      <c r="A3" t="s">
        <v>5</v>
      </c>
      <c r="F3">
        <v>15</v>
      </c>
    </row>
    <row r="4" spans="1:6" x14ac:dyDescent="0.3">
      <c r="A4" t="s">
        <v>2</v>
      </c>
      <c r="C4" t="s">
        <v>5</v>
      </c>
      <c r="F4">
        <v>30</v>
      </c>
    </row>
    <row r="5" spans="1:6" x14ac:dyDescent="0.3">
      <c r="A5" s="1" t="s">
        <v>23</v>
      </c>
      <c r="C5" t="s">
        <v>4</v>
      </c>
      <c r="F5">
        <v>60</v>
      </c>
    </row>
    <row r="6" spans="1:6" x14ac:dyDescent="0.3">
      <c r="A6" s="2" t="s">
        <v>24</v>
      </c>
      <c r="C6" t="s">
        <v>27</v>
      </c>
    </row>
    <row r="7" spans="1:6" x14ac:dyDescent="0.3">
      <c r="A7" s="1" t="s">
        <v>25</v>
      </c>
    </row>
    <row r="8" spans="1:6" x14ac:dyDescent="0.3">
      <c r="A8" s="1" t="s">
        <v>26</v>
      </c>
    </row>
    <row r="9" spans="1:6" x14ac:dyDescent="0.3">
      <c r="A9" s="1" t="s">
        <v>27</v>
      </c>
    </row>
    <row r="10" spans="1:6" x14ac:dyDescent="0.3">
      <c r="A10" s="1" t="s">
        <v>28</v>
      </c>
    </row>
    <row r="11" spans="1:6" x14ac:dyDescent="0.3">
      <c r="A11" s="1" t="s">
        <v>29</v>
      </c>
    </row>
    <row r="12" spans="1:6" x14ac:dyDescent="0.3">
      <c r="A12" s="1" t="s">
        <v>30</v>
      </c>
    </row>
    <row r="13" spans="1:6" x14ac:dyDescent="0.3">
      <c r="A13" s="1" t="s">
        <v>4</v>
      </c>
    </row>
    <row r="14" spans="1:6" x14ac:dyDescent="0.3">
      <c r="A14" s="3" t="s">
        <v>31</v>
      </c>
    </row>
    <row r="15" spans="1:6" x14ac:dyDescent="0.3">
      <c r="A15" s="1" t="s">
        <v>32</v>
      </c>
    </row>
    <row r="16" spans="1:6" x14ac:dyDescent="0.3">
      <c r="A16" s="1" t="s">
        <v>33</v>
      </c>
    </row>
    <row r="17" spans="1:1" x14ac:dyDescent="0.3">
      <c r="A17" s="1"/>
    </row>
    <row r="18" spans="1:1" x14ac:dyDescent="0.3">
      <c r="A18" s="1"/>
    </row>
    <row r="19" spans="1:1" x14ac:dyDescent="0.3">
      <c r="A19" s="1" t="s">
        <v>5</v>
      </c>
    </row>
    <row r="20" spans="1:1" x14ac:dyDescent="0.3">
      <c r="A20" s="1" t="s">
        <v>4</v>
      </c>
    </row>
    <row r="21" spans="1:1" x14ac:dyDescent="0.3">
      <c r="A21" s="1" t="s">
        <v>2</v>
      </c>
    </row>
    <row r="22" spans="1:1" x14ac:dyDescent="0.3">
      <c r="A22" s="1" t="s">
        <v>34</v>
      </c>
    </row>
    <row r="23" spans="1:1" x14ac:dyDescent="0.3">
      <c r="A23" s="1"/>
    </row>
    <row r="24" spans="1:1" x14ac:dyDescent="0.3">
      <c r="A24">
        <v>7.5</v>
      </c>
    </row>
    <row r="25" spans="1:1" x14ac:dyDescent="0.3">
      <c r="A25">
        <v>15</v>
      </c>
    </row>
    <row r="26" spans="1:1" x14ac:dyDescent="0.3">
      <c r="A26">
        <v>30</v>
      </c>
    </row>
    <row r="27" spans="1:1" x14ac:dyDescent="0.3">
      <c r="A27">
        <v>60</v>
      </c>
    </row>
    <row r="28" spans="1:1" x14ac:dyDescent="0.3">
      <c r="A28" s="1"/>
    </row>
    <row r="29" spans="1:1" x14ac:dyDescent="0.3">
      <c r="A29" t="s">
        <v>20</v>
      </c>
    </row>
    <row r="30" spans="1:1" x14ac:dyDescent="0.3">
      <c r="A30" t="s">
        <v>21</v>
      </c>
    </row>
    <row r="31" spans="1:1" x14ac:dyDescent="0.3">
      <c r="A31" t="s">
        <v>17</v>
      </c>
    </row>
    <row r="32" spans="1:1" x14ac:dyDescent="0.3">
      <c r="A32" t="s">
        <v>18</v>
      </c>
    </row>
    <row r="33" spans="1:1" x14ac:dyDescent="0.3">
      <c r="A33" t="s">
        <v>19</v>
      </c>
    </row>
    <row r="34" spans="1:1" x14ac:dyDescent="0.3">
      <c r="A34" t="s">
        <v>22</v>
      </c>
    </row>
    <row r="35" spans="1:1" x14ac:dyDescent="0.3">
      <c r="A35" t="s">
        <v>43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Info</vt:lpstr>
      <vt:lpstr>Forest &amp; Landscape</vt:lpstr>
      <vt:lpstr>Individuell JM-examen</vt:lpstr>
      <vt:lpstr>JM-kraven</vt:lpstr>
    </vt:vector>
  </TitlesOfParts>
  <Company>Umeå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Ohlsson</dc:creator>
  <cp:lastModifiedBy>Jennie Ohlsson</cp:lastModifiedBy>
  <cp:lastPrinted>2022-12-27T09:03:44Z</cp:lastPrinted>
  <dcterms:created xsi:type="dcterms:W3CDTF">2019-03-22T09:54:42Z</dcterms:created>
  <dcterms:modified xsi:type="dcterms:W3CDTF">2025-10-16T05:02:19Z</dcterms:modified>
</cp:coreProperties>
</file>